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Finance\Accounting\Custody Fees\"/>
    </mc:Choice>
  </mc:AlternateContent>
  <bookViews>
    <workbookView xWindow="360" yWindow="285" windowWidth="11295" windowHeight="6570" activeTab="2"/>
  </bookViews>
  <sheets>
    <sheet name="1Q16 Fees" sheetId="33" r:id="rId1"/>
    <sheet name="2Q16 Fees True-up" sheetId="34" r:id="rId2"/>
    <sheet name="2Q16 Fees" sheetId="35" r:id="rId3"/>
  </sheets>
  <definedNames>
    <definedName name="_xlnm.Print_Area" localSheetId="0">'1Q16 Fees'!$A$1:$L$59</definedName>
    <definedName name="_xlnm.Print_Area" localSheetId="2">'2Q16 Fees'!$A$1:$L$59</definedName>
    <definedName name="_xlnm.Print_Area" localSheetId="1">'2Q16 Fees True-up'!$A$1:$L$59</definedName>
  </definedNames>
  <calcPr calcId="152511" calcOnSave="0"/>
</workbook>
</file>

<file path=xl/calcChain.xml><?xml version="1.0" encoding="utf-8"?>
<calcChain xmlns="http://schemas.openxmlformats.org/spreadsheetml/2006/main">
  <c r="F14" i="35" l="1"/>
  <c r="J14" i="35"/>
  <c r="L31" i="35" s="1"/>
  <c r="L33" i="35" s="1"/>
  <c r="F18" i="35"/>
  <c r="G55" i="35"/>
  <c r="G53" i="35"/>
  <c r="F53" i="35"/>
  <c r="E53" i="35"/>
  <c r="E55" i="35" s="1"/>
  <c r="I51" i="35"/>
  <c r="I50" i="35"/>
  <c r="D50" i="35"/>
  <c r="C50" i="35"/>
  <c r="I49" i="35"/>
  <c r="C49" i="35"/>
  <c r="I48" i="35"/>
  <c r="I47" i="35"/>
  <c r="I46" i="35"/>
  <c r="I45" i="35"/>
  <c r="D44" i="35"/>
  <c r="D53" i="35" s="1"/>
  <c r="D55" i="35" s="1"/>
  <c r="C44" i="35"/>
  <c r="I43" i="35"/>
  <c r="I42" i="35"/>
  <c r="I41" i="35"/>
  <c r="I40" i="35"/>
  <c r="I39" i="35"/>
  <c r="I38" i="35"/>
  <c r="I37" i="35"/>
  <c r="I36" i="35"/>
  <c r="I35" i="35"/>
  <c r="I34" i="35"/>
  <c r="I33" i="35"/>
  <c r="I32" i="35"/>
  <c r="I31" i="35"/>
  <c r="I30" i="35"/>
  <c r="I29" i="35"/>
  <c r="I28" i="35"/>
  <c r="I27" i="35"/>
  <c r="L26" i="35"/>
  <c r="I26" i="35"/>
  <c r="I25" i="35"/>
  <c r="I24" i="35"/>
  <c r="I23" i="35"/>
  <c r="C23" i="35"/>
  <c r="C53" i="35" s="1"/>
  <c r="C55" i="35" s="1"/>
  <c r="L22" i="35"/>
  <c r="L27" i="35" s="1"/>
  <c r="I22" i="35"/>
  <c r="I21" i="35"/>
  <c r="K18" i="35"/>
  <c r="G18" i="35"/>
  <c r="C18" i="35"/>
  <c r="J18" i="35"/>
  <c r="E14" i="35"/>
  <c r="E18" i="35" s="1"/>
  <c r="D14" i="35"/>
  <c r="D18" i="35" s="1"/>
  <c r="C14" i="35"/>
  <c r="J14" i="34"/>
  <c r="E14" i="34"/>
  <c r="E50" i="34"/>
  <c r="E44" i="34"/>
  <c r="F55" i="35" l="1"/>
  <c r="I53" i="35"/>
  <c r="I14" i="35"/>
  <c r="I44" i="35"/>
  <c r="E18" i="34"/>
  <c r="G55" i="34"/>
  <c r="F55" i="34"/>
  <c r="G53" i="34"/>
  <c r="F53" i="34"/>
  <c r="E53" i="34"/>
  <c r="D53" i="34"/>
  <c r="D55" i="34" s="1"/>
  <c r="I51" i="34"/>
  <c r="D50" i="34"/>
  <c r="I50" i="34" s="1"/>
  <c r="C50" i="34"/>
  <c r="C49" i="34"/>
  <c r="I49" i="34" s="1"/>
  <c r="I48" i="34"/>
  <c r="I47" i="34"/>
  <c r="I46" i="34"/>
  <c r="I45" i="34"/>
  <c r="I44" i="34"/>
  <c r="D44" i="34"/>
  <c r="C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L31" i="34"/>
  <c r="L33" i="34" s="1"/>
  <c r="I31" i="34"/>
  <c r="I30" i="34"/>
  <c r="I29" i="34"/>
  <c r="I28" i="34"/>
  <c r="I27" i="34"/>
  <c r="L26" i="34"/>
  <c r="I26" i="34"/>
  <c r="I25" i="34"/>
  <c r="I24" i="34"/>
  <c r="C23" i="34"/>
  <c r="C53" i="34" s="1"/>
  <c r="C55" i="34" s="1"/>
  <c r="L22" i="34"/>
  <c r="I22" i="34"/>
  <c r="I21" i="34"/>
  <c r="K18" i="34"/>
  <c r="G18" i="34"/>
  <c r="F18" i="34"/>
  <c r="C18" i="34"/>
  <c r="J18" i="34"/>
  <c r="D14" i="34"/>
  <c r="D18" i="34" s="1"/>
  <c r="C14" i="34"/>
  <c r="D50" i="33"/>
  <c r="D14" i="33"/>
  <c r="D44" i="33"/>
  <c r="J14" i="33"/>
  <c r="L26" i="33"/>
  <c r="C14" i="33"/>
  <c r="C50" i="33"/>
  <c r="C49" i="33"/>
  <c r="C44" i="33"/>
  <c r="C23" i="33"/>
  <c r="L14" i="35" l="1"/>
  <c r="L18" i="35" s="1"/>
  <c r="I18" i="35"/>
  <c r="I55" i="35"/>
  <c r="L27" i="34"/>
  <c r="E55" i="34"/>
  <c r="I14" i="34"/>
  <c r="I23" i="34"/>
  <c r="I53" i="34" s="1"/>
  <c r="I55" i="34" l="1"/>
  <c r="L14" i="34"/>
  <c r="L18" i="34" s="1"/>
  <c r="I18" i="34"/>
  <c r="G53" i="33" l="1"/>
  <c r="G55" i="33" s="1"/>
  <c r="F53" i="33"/>
  <c r="C53" i="33"/>
  <c r="C55" i="33" s="1"/>
  <c r="I51" i="33"/>
  <c r="E53" i="33"/>
  <c r="E55" i="33" s="1"/>
  <c r="I50" i="33"/>
  <c r="I49" i="33"/>
  <c r="I48" i="33"/>
  <c r="I47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I34" i="33"/>
  <c r="I33" i="33"/>
  <c r="I32" i="33"/>
  <c r="I31" i="33"/>
  <c r="I30" i="33"/>
  <c r="I29" i="33"/>
  <c r="I28" i="33"/>
  <c r="I27" i="33"/>
  <c r="I26" i="33"/>
  <c r="I25" i="33"/>
  <c r="I24" i="33"/>
  <c r="I23" i="33"/>
  <c r="L22" i="33"/>
  <c r="I22" i="33"/>
  <c r="I21" i="33"/>
  <c r="K18" i="33"/>
  <c r="G18" i="33"/>
  <c r="D18" i="33"/>
  <c r="C18" i="33"/>
  <c r="F18" i="33"/>
  <c r="E18" i="33"/>
  <c r="I14" i="33"/>
  <c r="D53" i="33" l="1"/>
  <c r="D55" i="33" s="1"/>
  <c r="L14" i="33"/>
  <c r="L27" i="33"/>
  <c r="I53" i="33"/>
  <c r="I55" i="33" s="1"/>
  <c r="I18" i="33"/>
  <c r="F55" i="33"/>
  <c r="J18" i="33" l="1"/>
  <c r="L31" i="33"/>
  <c r="L33" i="33" s="1"/>
  <c r="L18" i="33"/>
</calcChain>
</file>

<file path=xl/sharedStrings.xml><?xml version="1.0" encoding="utf-8"?>
<sst xmlns="http://schemas.openxmlformats.org/spreadsheetml/2006/main" count="231" uniqueCount="66">
  <si>
    <t>Bradley Foundation</t>
  </si>
  <si>
    <t xml:space="preserve">Quarter </t>
  </si>
  <si>
    <t>Quarter</t>
  </si>
  <si>
    <t>Add: Accrual</t>
  </si>
  <si>
    <t>Less: Accrual</t>
  </si>
  <si>
    <t>Ending</t>
  </si>
  <si>
    <t>Total Paid</t>
  </si>
  <si>
    <t>Quarter Ending</t>
  </si>
  <si>
    <t>Grand Total</t>
  </si>
  <si>
    <t>Northern Trust</t>
  </si>
  <si>
    <t>Custodial Fees</t>
  </si>
  <si>
    <t>A/C # 24100-000</t>
  </si>
  <si>
    <t>A/C # 64900-000</t>
  </si>
  <si>
    <t>Credit</t>
  </si>
  <si>
    <t>Private I license fee</t>
  </si>
  <si>
    <t>Private I data mgmt fee and cap call mgmt</t>
  </si>
  <si>
    <t>Performance reporting</t>
  </si>
  <si>
    <t>Private I license fee (charged to Finance software)</t>
  </si>
  <si>
    <t>Private I reclass</t>
  </si>
  <si>
    <t>Accrual with Private i</t>
  </si>
  <si>
    <t>Custody</t>
  </si>
  <si>
    <t>Private i</t>
  </si>
  <si>
    <t>Total</t>
  </si>
  <si>
    <t>software for private I fee was done</t>
  </si>
  <si>
    <t>amount includes the private I portion</t>
  </si>
  <si>
    <t>OFI (1001002)</t>
  </si>
  <si>
    <t>Artisan (1003002)</t>
  </si>
  <si>
    <t>Acacia (1004002)</t>
  </si>
  <si>
    <t>Legacy PE and VC (5002002)</t>
  </si>
  <si>
    <t>Baillie Gifford (1002002)</t>
  </si>
  <si>
    <t>Rothschild (2003002)</t>
  </si>
  <si>
    <t>Fiduciary (2004002)</t>
  </si>
  <si>
    <t>Columbia (2005002)</t>
  </si>
  <si>
    <t>Wellington (3002002)</t>
  </si>
  <si>
    <t>Morgan Stanley (4001002)</t>
  </si>
  <si>
    <t>Cambridge Hedge (4002002)</t>
  </si>
  <si>
    <t>Cambridge PE and VC (5001002)</t>
  </si>
  <si>
    <t>Hancock (6003002)</t>
  </si>
  <si>
    <t>PIMCO (6004002)</t>
  </si>
  <si>
    <t>*</t>
  </si>
  <si>
    <t>custody</t>
  </si>
  <si>
    <t>private i</t>
  </si>
  <si>
    <t>Wells (2007002)</t>
  </si>
  <si>
    <t>Wellington Commodities (6006002)</t>
  </si>
  <si>
    <t>Vanguard US REIT (6007002)</t>
  </si>
  <si>
    <t>Vanguard Global ex-US REIT (6008002)</t>
  </si>
  <si>
    <t>Private I unfunded commitment reconciliation</t>
  </si>
  <si>
    <t>Transition Account (9001002)</t>
  </si>
  <si>
    <t>Standard Regulatory Support Fee</t>
  </si>
  <si>
    <t>* Note that $28,000 custody fee charge is on a one-month lag</t>
  </si>
  <si>
    <t>Shapiro (2008002)</t>
  </si>
  <si>
    <t>Dreyfus Govt. Cash (8002002)</t>
  </si>
  <si>
    <t>Baird Aggregate Bond (3004002)</t>
  </si>
  <si>
    <t>Baird Short-Term Bond (3005002)</t>
  </si>
  <si>
    <t>CA Timber (6010002)</t>
  </si>
  <si>
    <t>Cash Account (8001002)</t>
  </si>
  <si>
    <t>Year Ended December 31, 2016</t>
  </si>
  <si>
    <t>Paid 2016</t>
  </si>
  <si>
    <t>4Q16 reclass entry to Finance</t>
  </si>
  <si>
    <t>in December 2016.  The accrual</t>
  </si>
  <si>
    <t>since it will not be paid until 2017.</t>
  </si>
  <si>
    <t>BNY 12/31/16</t>
  </si>
  <si>
    <t>12/31/15 Accrual</t>
  </si>
  <si>
    <t>4Q16 Est.</t>
  </si>
  <si>
    <t>4Q16 inv. Due</t>
  </si>
  <si>
    <t>2016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</si>
</sst>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4">
    <font>
      <sz val="10"/>
      <name val="Arial"/>
    </font>
    <font>
      <sz val="10"/>
      <name val="Arial"/>
    </font>
    <font>
      <sz val="12"/>
      <name val="Arial MT"/>
    </font>
    <font>
      <sz val="8"/>
      <name val="TimesNewRomanPS"/>
      <family val="1"/>
    </font>
    <font>
      <sz val="12"/>
      <name val="TimesNewRomanPS"/>
      <family val="1"/>
    </font>
    <font>
      <b/>
      <sz val="12"/>
      <name val="TimesNewRomanPS"/>
      <family val="1"/>
    </font>
    <font>
      <b/>
      <u/>
      <sz val="12"/>
      <name val="TimesNewRomanPS"/>
      <family val="1"/>
    </font>
    <font>
      <u/>
      <sz val="12"/>
      <name val="TimesNewRomanPS"/>
      <family val="1"/>
    </font>
    <font>
      <u val="double"/>
      <sz val="12"/>
      <name val="TimesNewRomanPS"/>
      <family val="1"/>
    </font>
    <font>
      <sz val="10"/>
      <name val="Arial MT"/>
    </font>
    <font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3" applyFont="1" applyProtection="1"/>
    <xf numFmtId="0" fontId="4" fillId="0" borderId="0" xfId="3" applyFont="1" applyAlignment="1" applyProtection="1">
      <alignment horizontal="centerContinuous"/>
    </xf>
    <xf numFmtId="0" fontId="5" fillId="0" borderId="0" xfId="3" applyFont="1" applyAlignment="1" applyProtection="1">
      <alignment horizontal="centerContinuous"/>
    </xf>
    <xf numFmtId="0" fontId="4" fillId="0" borderId="0" xfId="3" applyFont="1" applyProtection="1"/>
    <xf numFmtId="0" fontId="5" fillId="0" borderId="1" xfId="3" applyFont="1" applyBorder="1" applyAlignment="1" applyProtection="1">
      <alignment horizontal="centerContinuous"/>
    </xf>
    <xf numFmtId="0" fontId="4" fillId="0" borderId="1" xfId="3" applyFont="1" applyBorder="1" applyAlignment="1" applyProtection="1">
      <alignment horizontal="centerContinuous"/>
    </xf>
    <xf numFmtId="0" fontId="4" fillId="0" borderId="0" xfId="3" applyFont="1" applyAlignment="1" applyProtection="1">
      <alignment horizontal="center"/>
    </xf>
    <xf numFmtId="0" fontId="6" fillId="0" borderId="0" xfId="3" applyFont="1" applyAlignment="1" applyProtection="1">
      <alignment horizontal="center"/>
    </xf>
    <xf numFmtId="0" fontId="7" fillId="0" borderId="0" xfId="3" applyFont="1" applyAlignment="1" applyProtection="1">
      <alignment horizontal="center"/>
    </xf>
    <xf numFmtId="0" fontId="7" fillId="0" borderId="0" xfId="3" applyFont="1" applyProtection="1"/>
    <xf numFmtId="14" fontId="7" fillId="0" borderId="0" xfId="3" applyNumberFormat="1" applyFont="1" applyAlignment="1" applyProtection="1">
      <alignment horizontal="center"/>
    </xf>
    <xf numFmtId="0" fontId="4" fillId="2" borderId="0" xfId="3" applyFont="1" applyFill="1" applyProtection="1"/>
    <xf numFmtId="43" fontId="4" fillId="0" borderId="0" xfId="1" applyFont="1" applyProtection="1"/>
    <xf numFmtId="43" fontId="4" fillId="2" borderId="0" xfId="1" applyFont="1" applyFill="1" applyProtection="1"/>
    <xf numFmtId="39" fontId="4" fillId="0" borderId="1" xfId="3" applyNumberFormat="1" applyFont="1" applyBorder="1" applyProtection="1"/>
    <xf numFmtId="0" fontId="4" fillId="0" borderId="1" xfId="3" applyFont="1" applyBorder="1" applyProtection="1"/>
    <xf numFmtId="39" fontId="4" fillId="2" borderId="1" xfId="3" applyNumberFormat="1" applyFont="1" applyFill="1" applyBorder="1" applyProtection="1"/>
    <xf numFmtId="39" fontId="4" fillId="0" borderId="0" xfId="3" applyNumberFormat="1" applyFont="1" applyProtection="1"/>
    <xf numFmtId="39" fontId="4" fillId="2" borderId="0" xfId="3" applyNumberFormat="1" applyFont="1" applyFill="1" applyProtection="1"/>
    <xf numFmtId="0" fontId="5" fillId="0" borderId="0" xfId="3" applyFont="1" applyAlignment="1" applyProtection="1">
      <alignment horizontal="right"/>
    </xf>
    <xf numFmtId="0" fontId="5" fillId="0" borderId="0" xfId="3" applyFont="1" applyProtection="1"/>
    <xf numFmtId="44" fontId="8" fillId="0" borderId="0" xfId="2" applyFont="1" applyAlignment="1" applyProtection="1">
      <alignment horizontal="right"/>
    </xf>
    <xf numFmtId="0" fontId="9" fillId="0" borderId="0" xfId="3" applyFont="1" applyProtection="1"/>
    <xf numFmtId="7" fontId="8" fillId="0" borderId="0" xfId="3" applyNumberFormat="1" applyFont="1" applyProtection="1"/>
    <xf numFmtId="43" fontId="0" fillId="0" borderId="0" xfId="0" applyNumberFormat="1"/>
    <xf numFmtId="43" fontId="1" fillId="0" borderId="0" xfId="1"/>
    <xf numFmtId="0" fontId="11" fillId="0" borderId="0" xfId="0" applyFont="1"/>
    <xf numFmtId="43" fontId="11" fillId="0" borderId="0" xfId="1" applyFont="1"/>
    <xf numFmtId="43" fontId="11" fillId="0" borderId="0" xfId="1" applyFont="1" applyProtection="1"/>
    <xf numFmtId="43" fontId="11" fillId="0" borderId="0" xfId="1" applyFont="1" applyBorder="1"/>
    <xf numFmtId="43" fontId="11" fillId="0" borderId="2" xfId="1" applyFont="1" applyBorder="1"/>
    <xf numFmtId="43" fontId="11" fillId="0" borderId="0" xfId="1" applyFont="1" applyBorder="1" applyProtection="1"/>
    <xf numFmtId="43" fontId="11" fillId="0" borderId="2" xfId="1" applyFont="1" applyBorder="1" applyProtection="1"/>
    <xf numFmtId="43" fontId="11" fillId="0" borderId="0" xfId="0" applyNumberFormat="1" applyFont="1"/>
    <xf numFmtId="43" fontId="0" fillId="0" borderId="0" xfId="1" applyFont="1"/>
    <xf numFmtId="43" fontId="0" fillId="0" borderId="2" xfId="1" applyFont="1" applyBorder="1"/>
    <xf numFmtId="0" fontId="0" fillId="0" borderId="0" xfId="0" quotePrefix="1"/>
    <xf numFmtId="0" fontId="12" fillId="0" borderId="0" xfId="0" applyFont="1"/>
    <xf numFmtId="0" fontId="10" fillId="0" borderId="0" xfId="0" applyFont="1"/>
    <xf numFmtId="43" fontId="0" fillId="3" borderId="0" xfId="1" applyFont="1" applyFill="1"/>
    <xf numFmtId="43" fontId="4" fillId="0" borderId="0" xfId="1" applyFont="1" applyFill="1" applyProtection="1"/>
    <xf numFmtId="43" fontId="0" fillId="0" borderId="0" xfId="1" applyFont="1" applyFill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3" fontId="13" fillId="0" borderId="0" xfId="1" applyFont="1"/>
    <xf numFmtId="43" fontId="13" fillId="0" borderId="0" xfId="1" applyFont="1" applyBorder="1"/>
  </cellXfs>
  <cellStyles count="4">
    <cellStyle name="Comma" xfId="1" builtinId="3"/>
    <cellStyle name="Currency" xfId="2" builtinId="4"/>
    <cellStyle name="Normal" xfId="0" builtinId="0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selection activeCell="D1" sqref="D1"/>
    </sheetView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3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5.75">
      <c r="A5" s="3" t="s">
        <v>56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ht="15.75">
      <c r="A8" s="4"/>
      <c r="B8" s="4"/>
      <c r="C8" s="5" t="s">
        <v>57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3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3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3" ht="15.75">
      <c r="A12" s="8" t="s">
        <v>9</v>
      </c>
      <c r="B12" s="4"/>
      <c r="C12" s="11">
        <v>42369</v>
      </c>
      <c r="D12" s="11">
        <v>42460</v>
      </c>
      <c r="E12" s="11">
        <v>42551</v>
      </c>
      <c r="F12" s="11">
        <v>42643</v>
      </c>
      <c r="G12" s="11">
        <v>42735</v>
      </c>
      <c r="H12" s="10"/>
      <c r="I12" s="9">
        <v>2016</v>
      </c>
      <c r="J12" s="11">
        <v>42735</v>
      </c>
      <c r="K12" s="11">
        <v>42369</v>
      </c>
      <c r="L12" s="9">
        <v>2016</v>
      </c>
    </row>
    <row r="13" spans="1:13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3" ht="15.75">
      <c r="A14" s="4" t="s">
        <v>10</v>
      </c>
      <c r="B14" s="4"/>
      <c r="C14" s="13">
        <f>28000+7911.41-6226.88</f>
        <v>29684.530000000002</v>
      </c>
      <c r="D14" s="13">
        <f>28000+28000+28000+8828.71-6226.88</f>
        <v>86601.829999999987</v>
      </c>
      <c r="E14" s="13"/>
      <c r="F14" s="13"/>
      <c r="G14" s="13"/>
      <c r="H14" s="13"/>
      <c r="I14" s="13">
        <f>SUM(A14:H14)</f>
        <v>116286.35999999999</v>
      </c>
      <c r="J14" s="41">
        <f>8828.71+28000-6226.88</f>
        <v>30601.829999999998</v>
      </c>
      <c r="K14" s="13">
        <v>29684.53</v>
      </c>
      <c r="L14" s="14">
        <f>+I14+J14-K14</f>
        <v>117203.65999999997</v>
      </c>
      <c r="M14" s="25"/>
    </row>
    <row r="15" spans="1:13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3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4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4" ht="15.75">
      <c r="A18" s="20" t="s">
        <v>8</v>
      </c>
      <c r="B18" s="21"/>
      <c r="C18" s="22">
        <f t="shared" ref="C18:L18" si="0">+C14</f>
        <v>29684.530000000002</v>
      </c>
      <c r="D18" s="22">
        <f t="shared" si="0"/>
        <v>86601.829999999987</v>
      </c>
      <c r="E18" s="22">
        <f t="shared" si="0"/>
        <v>0</v>
      </c>
      <c r="F18" s="22">
        <f t="shared" si="0"/>
        <v>0</v>
      </c>
      <c r="G18" s="22">
        <f t="shared" si="0"/>
        <v>0</v>
      </c>
      <c r="H18" s="22"/>
      <c r="I18" s="22">
        <f t="shared" si="0"/>
        <v>116286.35999999999</v>
      </c>
      <c r="J18" s="22">
        <f t="shared" si="0"/>
        <v>30601.829999999998</v>
      </c>
      <c r="K18" s="22">
        <f t="shared" si="0"/>
        <v>29684.53</v>
      </c>
      <c r="L18" s="22">
        <f t="shared" si="0"/>
        <v>117203.65999999997</v>
      </c>
    </row>
    <row r="19" spans="1:14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4" ht="15.75">
      <c r="A20" s="23"/>
      <c r="B20" s="4"/>
      <c r="C20" s="4"/>
      <c r="D20" s="4"/>
      <c r="E20" s="4"/>
      <c r="F20" s="24"/>
      <c r="G20" s="24"/>
      <c r="H20" s="4"/>
      <c r="I20" s="4"/>
      <c r="J20" s="4"/>
      <c r="K20" s="4"/>
      <c r="L20" s="4"/>
    </row>
    <row r="21" spans="1:14" ht="15.75">
      <c r="A21" s="27" t="s">
        <v>25</v>
      </c>
      <c r="B21" s="27"/>
      <c r="C21" s="28">
        <v>520.57000000000005</v>
      </c>
      <c r="D21" s="28">
        <v>534.09</v>
      </c>
      <c r="E21" s="28"/>
      <c r="F21" s="28"/>
      <c r="G21" s="28"/>
      <c r="H21" s="28"/>
      <c r="I21" s="29">
        <f t="shared" ref="I21:I51" si="1">SUM(C21:G21)</f>
        <v>1054.6600000000001</v>
      </c>
      <c r="J21" s="4"/>
      <c r="K21" t="s">
        <v>61</v>
      </c>
      <c r="L21" s="40">
        <v>119911.41</v>
      </c>
    </row>
    <row r="22" spans="1:14">
      <c r="A22" s="27" t="s">
        <v>29</v>
      </c>
      <c r="B22" s="27"/>
      <c r="C22" s="30">
        <v>557.57000000000005</v>
      </c>
      <c r="D22" s="30">
        <v>564.92999999999995</v>
      </c>
      <c r="E22" s="30"/>
      <c r="F22" s="30"/>
      <c r="G22" s="30"/>
      <c r="H22" s="30"/>
      <c r="I22" s="32">
        <f t="shared" ref="I22" si="2">SUM(C22:G22)</f>
        <v>1122.5</v>
      </c>
      <c r="K22" t="s">
        <v>62</v>
      </c>
      <c r="L22" s="35">
        <f>-K14</f>
        <v>-29684.53</v>
      </c>
      <c r="M22" t="s">
        <v>40</v>
      </c>
    </row>
    <row r="23" spans="1:14">
      <c r="A23" s="27" t="s">
        <v>26</v>
      </c>
      <c r="B23" s="27"/>
      <c r="C23" s="28">
        <f>7718.71+15+20</f>
        <v>7753.71</v>
      </c>
      <c r="D23" s="28">
        <v>9603.16</v>
      </c>
      <c r="E23" s="28"/>
      <c r="F23" s="28"/>
      <c r="G23" s="28"/>
      <c r="H23" s="28"/>
      <c r="I23" s="29">
        <f t="shared" si="1"/>
        <v>17356.87</v>
      </c>
      <c r="K23" t="s">
        <v>62</v>
      </c>
      <c r="L23" s="42">
        <v>-6226.88</v>
      </c>
      <c r="M23" t="s">
        <v>41</v>
      </c>
    </row>
    <row r="24" spans="1:14">
      <c r="A24" s="27" t="s">
        <v>27</v>
      </c>
      <c r="B24" s="27"/>
      <c r="C24" s="28">
        <v>195.87</v>
      </c>
      <c r="D24" s="28">
        <v>195.62</v>
      </c>
      <c r="E24" s="28"/>
      <c r="F24" s="28"/>
      <c r="G24" s="28"/>
      <c r="H24" s="28"/>
      <c r="I24" s="29">
        <f t="shared" ref="I24:I46" si="3">SUM(C24:G24)</f>
        <v>391.49</v>
      </c>
      <c r="K24" t="s">
        <v>63</v>
      </c>
      <c r="L24" s="42">
        <v>28000</v>
      </c>
      <c r="M24" s="39" t="s">
        <v>39</v>
      </c>
    </row>
    <row r="25" spans="1:14">
      <c r="A25" s="27" t="s">
        <v>30</v>
      </c>
      <c r="B25" s="27"/>
      <c r="C25" s="30">
        <v>3425.21</v>
      </c>
      <c r="D25" s="30">
        <v>2631.93</v>
      </c>
      <c r="E25" s="30"/>
      <c r="F25" s="30"/>
      <c r="G25" s="30"/>
      <c r="H25" s="30"/>
      <c r="I25" s="32">
        <f t="shared" si="3"/>
        <v>6057.1399999999994</v>
      </c>
      <c r="K25" t="s">
        <v>64</v>
      </c>
      <c r="L25" s="40">
        <v>8828.7099999999991</v>
      </c>
    </row>
    <row r="26" spans="1:14">
      <c r="A26" s="27" t="s">
        <v>31</v>
      </c>
      <c r="B26" s="27"/>
      <c r="C26" s="30">
        <v>2069.58</v>
      </c>
      <c r="D26" s="30">
        <v>2142.7199999999998</v>
      </c>
      <c r="E26" s="30"/>
      <c r="F26" s="30"/>
      <c r="G26" s="30"/>
      <c r="H26" s="30"/>
      <c r="I26" s="32">
        <f t="shared" si="3"/>
        <v>4212.2999999999993</v>
      </c>
      <c r="K26" t="s">
        <v>18</v>
      </c>
      <c r="L26" s="36">
        <f>D49+E49+F49+G49</f>
        <v>-6226.88</v>
      </c>
    </row>
    <row r="27" spans="1:14">
      <c r="A27" s="27" t="s">
        <v>32</v>
      </c>
      <c r="B27" s="27"/>
      <c r="C27" s="30">
        <v>2838.41</v>
      </c>
      <c r="D27" s="30">
        <v>3163.99</v>
      </c>
      <c r="E27" s="30"/>
      <c r="F27" s="30"/>
      <c r="G27" s="30"/>
      <c r="H27" s="30"/>
      <c r="I27" s="32">
        <f t="shared" si="3"/>
        <v>6002.4</v>
      </c>
      <c r="K27" s="37" t="s">
        <v>65</v>
      </c>
      <c r="L27" s="35">
        <f>SUM(L21:L26)</f>
        <v>114601.82999999999</v>
      </c>
      <c r="M27" s="25"/>
      <c r="N27" s="25"/>
    </row>
    <row r="28" spans="1:14">
      <c r="A28" s="27" t="s">
        <v>42</v>
      </c>
      <c r="B28" s="27"/>
      <c r="C28" s="30">
        <v>5561.8</v>
      </c>
      <c r="D28" s="30">
        <v>5186.37</v>
      </c>
      <c r="E28" s="30"/>
      <c r="F28" s="30"/>
      <c r="G28" s="30"/>
      <c r="H28" s="30"/>
      <c r="I28" s="32">
        <f t="shared" si="3"/>
        <v>10748.17</v>
      </c>
    </row>
    <row r="29" spans="1:14">
      <c r="A29" s="27" t="s">
        <v>50</v>
      </c>
      <c r="B29" s="27"/>
      <c r="C29" s="30">
        <v>1803.32</v>
      </c>
      <c r="D29" s="30">
        <v>1784.32</v>
      </c>
      <c r="E29" s="30"/>
      <c r="F29" s="30"/>
      <c r="G29" s="30"/>
      <c r="H29" s="30"/>
      <c r="I29" s="32">
        <f t="shared" si="3"/>
        <v>3587.64</v>
      </c>
    </row>
    <row r="30" spans="1:14">
      <c r="A30" s="27" t="s">
        <v>33</v>
      </c>
      <c r="B30" s="27"/>
      <c r="C30" s="30">
        <v>265.2</v>
      </c>
      <c r="D30" s="30">
        <v>274.94</v>
      </c>
      <c r="E30" s="30"/>
      <c r="F30" s="30"/>
      <c r="G30" s="30"/>
      <c r="H30" s="30"/>
      <c r="I30" s="32">
        <f t="shared" si="3"/>
        <v>540.14</v>
      </c>
      <c r="K30" s="38" t="s">
        <v>19</v>
      </c>
    </row>
    <row r="31" spans="1:14">
      <c r="A31" s="27" t="s">
        <v>34</v>
      </c>
      <c r="B31" s="27"/>
      <c r="C31" s="28">
        <v>192.39</v>
      </c>
      <c r="D31" s="28">
        <v>192.4</v>
      </c>
      <c r="E31" s="28"/>
      <c r="F31" s="28"/>
      <c r="G31" s="28"/>
      <c r="H31" s="28"/>
      <c r="I31" s="29">
        <f t="shared" si="3"/>
        <v>384.78999999999996</v>
      </c>
      <c r="K31" t="s">
        <v>20</v>
      </c>
      <c r="L31" s="40">
        <f>J14</f>
        <v>30601.829999999998</v>
      </c>
    </row>
    <row r="32" spans="1:14">
      <c r="A32" s="27" t="s">
        <v>35</v>
      </c>
      <c r="B32" s="27"/>
      <c r="C32" s="28">
        <v>7479.03</v>
      </c>
      <c r="D32" s="28">
        <v>6819.22</v>
      </c>
      <c r="E32" s="28"/>
      <c r="F32" s="28"/>
      <c r="G32" s="28"/>
      <c r="H32" s="28"/>
      <c r="I32" s="29">
        <f t="shared" si="3"/>
        <v>14298.25</v>
      </c>
      <c r="K32" t="s">
        <v>21</v>
      </c>
      <c r="L32" s="36">
        <v>6226.88</v>
      </c>
    </row>
    <row r="33" spans="1:12">
      <c r="A33" s="27" t="s">
        <v>36</v>
      </c>
      <c r="B33" s="27"/>
      <c r="C33" s="28">
        <v>14913.57</v>
      </c>
      <c r="D33" s="28">
        <v>15535.49</v>
      </c>
      <c r="E33" s="28"/>
      <c r="F33" s="28"/>
      <c r="G33" s="28"/>
      <c r="H33" s="28"/>
      <c r="I33" s="29">
        <f t="shared" si="3"/>
        <v>30449.059999999998</v>
      </c>
      <c r="K33" s="39" t="s">
        <v>22</v>
      </c>
      <c r="L33" s="35">
        <f>SUM(L31:L32)</f>
        <v>36828.71</v>
      </c>
    </row>
    <row r="34" spans="1:12">
      <c r="A34" s="27" t="s">
        <v>28</v>
      </c>
      <c r="B34" s="27"/>
      <c r="C34" s="28">
        <v>1349.03</v>
      </c>
      <c r="D34" s="28">
        <v>1156.74</v>
      </c>
      <c r="E34" s="28"/>
      <c r="F34" s="28"/>
      <c r="G34" s="28"/>
      <c r="H34" s="28"/>
      <c r="I34" s="29">
        <f t="shared" si="3"/>
        <v>2505.77</v>
      </c>
    </row>
    <row r="35" spans="1:12">
      <c r="A35" s="27" t="s">
        <v>37</v>
      </c>
      <c r="B35" s="27"/>
      <c r="C35" s="30">
        <v>304.89999999999998</v>
      </c>
      <c r="D35" s="30">
        <v>304.89999999999998</v>
      </c>
      <c r="E35" s="30"/>
      <c r="F35" s="30"/>
      <c r="G35" s="30"/>
      <c r="H35" s="30"/>
      <c r="I35" s="32">
        <f t="shared" si="3"/>
        <v>609.79999999999995</v>
      </c>
      <c r="K35" s="39" t="s">
        <v>58</v>
      </c>
    </row>
    <row r="36" spans="1:12">
      <c r="A36" s="27" t="s">
        <v>38</v>
      </c>
      <c r="B36" s="27"/>
      <c r="C36" s="28">
        <v>325.31</v>
      </c>
      <c r="D36" s="28">
        <v>323.89</v>
      </c>
      <c r="E36" s="28"/>
      <c r="F36" s="28"/>
      <c r="G36" s="28"/>
      <c r="H36" s="28"/>
      <c r="I36" s="29">
        <f t="shared" si="3"/>
        <v>649.20000000000005</v>
      </c>
      <c r="K36" s="39" t="s">
        <v>23</v>
      </c>
    </row>
    <row r="37" spans="1:12">
      <c r="A37" s="27" t="s">
        <v>43</v>
      </c>
      <c r="B37" s="27"/>
      <c r="C37" s="30">
        <v>299.38</v>
      </c>
      <c r="D37" s="30">
        <v>304.24</v>
      </c>
      <c r="E37" s="30"/>
      <c r="F37" s="30"/>
      <c r="G37" s="30"/>
      <c r="H37" s="30"/>
      <c r="I37" s="32">
        <f t="shared" si="3"/>
        <v>603.62</v>
      </c>
      <c r="K37" s="39" t="s">
        <v>59</v>
      </c>
    </row>
    <row r="38" spans="1:12">
      <c r="A38" s="27" t="s">
        <v>44</v>
      </c>
      <c r="B38" s="27"/>
      <c r="C38" s="30">
        <v>249.68</v>
      </c>
      <c r="D38" s="30">
        <v>256.77999999999997</v>
      </c>
      <c r="E38" s="30"/>
      <c r="F38" s="30"/>
      <c r="G38" s="30"/>
      <c r="H38" s="30"/>
      <c r="I38" s="32">
        <f t="shared" si="3"/>
        <v>506.46</v>
      </c>
      <c r="K38" s="39" t="s">
        <v>24</v>
      </c>
    </row>
    <row r="39" spans="1:12">
      <c r="A39" s="27" t="s">
        <v>45</v>
      </c>
      <c r="B39" s="27"/>
      <c r="C39" s="30">
        <v>243.92</v>
      </c>
      <c r="D39" s="30">
        <v>248.55</v>
      </c>
      <c r="E39" s="30"/>
      <c r="F39" s="30"/>
      <c r="G39" s="30"/>
      <c r="H39" s="30"/>
      <c r="I39" s="32">
        <f t="shared" si="3"/>
        <v>492.47</v>
      </c>
      <c r="K39" s="39" t="s">
        <v>60</v>
      </c>
    </row>
    <row r="40" spans="1:12">
      <c r="A40" s="27" t="s">
        <v>51</v>
      </c>
      <c r="B40" s="27"/>
      <c r="C40" s="30">
        <v>391.05</v>
      </c>
      <c r="D40" s="30">
        <v>355.41</v>
      </c>
      <c r="E40" s="30"/>
      <c r="F40" s="30"/>
      <c r="G40" s="30"/>
      <c r="H40" s="30"/>
      <c r="I40" s="32">
        <f t="shared" si="3"/>
        <v>746.46</v>
      </c>
    </row>
    <row r="41" spans="1:12">
      <c r="A41" s="27" t="s">
        <v>52</v>
      </c>
      <c r="B41" s="27"/>
      <c r="C41" s="30">
        <v>299.23</v>
      </c>
      <c r="D41" s="30">
        <v>295.22000000000003</v>
      </c>
      <c r="E41" s="30"/>
      <c r="F41" s="30"/>
      <c r="G41" s="30"/>
      <c r="H41" s="30"/>
      <c r="I41" s="32">
        <f t="shared" si="3"/>
        <v>594.45000000000005</v>
      </c>
    </row>
    <row r="42" spans="1:12">
      <c r="A42" s="27" t="s">
        <v>53</v>
      </c>
      <c r="B42" s="27"/>
      <c r="C42" s="30">
        <v>454.73</v>
      </c>
      <c r="D42" s="30">
        <v>433.48</v>
      </c>
      <c r="E42" s="30"/>
      <c r="F42" s="30"/>
      <c r="G42" s="30"/>
      <c r="H42" s="30"/>
      <c r="I42" s="32">
        <f t="shared" si="3"/>
        <v>888.21</v>
      </c>
      <c r="K42" s="46" t="s">
        <v>49</v>
      </c>
      <c r="L42" s="46"/>
    </row>
    <row r="43" spans="1:12">
      <c r="A43" s="27" t="s">
        <v>54</v>
      </c>
      <c r="B43" s="27"/>
      <c r="C43" s="30">
        <v>650.49</v>
      </c>
      <c r="D43" s="30">
        <v>633.77</v>
      </c>
      <c r="E43" s="30"/>
      <c r="F43" s="30"/>
      <c r="G43" s="30"/>
      <c r="H43" s="30"/>
      <c r="I43" s="32">
        <f t="shared" si="3"/>
        <v>1284.26</v>
      </c>
      <c r="K43" s="46"/>
      <c r="L43" s="46"/>
    </row>
    <row r="44" spans="1:12">
      <c r="A44" s="27" t="s">
        <v>55</v>
      </c>
      <c r="B44" s="27"/>
      <c r="C44" s="28">
        <f>142.02+85+20.18</f>
        <v>247.20000000000002</v>
      </c>
      <c r="D44" s="28">
        <f>140.73+0.05</f>
        <v>140.78</v>
      </c>
      <c r="E44" s="28"/>
      <c r="F44" s="28"/>
      <c r="G44" s="28"/>
      <c r="H44" s="28"/>
      <c r="I44" s="29">
        <f t="shared" si="3"/>
        <v>387.98</v>
      </c>
      <c r="K44" s="43"/>
      <c r="L44" s="43"/>
    </row>
    <row r="45" spans="1:12">
      <c r="A45" s="27" t="s">
        <v>47</v>
      </c>
      <c r="B45" s="27"/>
      <c r="C45" s="28">
        <v>0</v>
      </c>
      <c r="D45" s="28">
        <v>0</v>
      </c>
      <c r="E45" s="28"/>
      <c r="F45" s="28"/>
      <c r="G45" s="28"/>
      <c r="H45" s="28"/>
      <c r="I45" s="29">
        <f t="shared" si="3"/>
        <v>0</v>
      </c>
    </row>
    <row r="46" spans="1:12">
      <c r="A46" s="27" t="s">
        <v>48</v>
      </c>
      <c r="B46" s="27"/>
      <c r="C46" s="28">
        <v>1025</v>
      </c>
      <c r="D46" s="28">
        <v>1025</v>
      </c>
      <c r="E46" s="28"/>
      <c r="F46" s="28"/>
      <c r="G46" s="28"/>
      <c r="H46" s="28"/>
      <c r="I46" s="29">
        <f t="shared" si="3"/>
        <v>2050</v>
      </c>
    </row>
    <row r="47" spans="1:12">
      <c r="A47" s="27" t="s">
        <v>16</v>
      </c>
      <c r="B47" s="27"/>
      <c r="C47" s="30">
        <v>21589.08</v>
      </c>
      <c r="D47" s="30">
        <v>21525.02</v>
      </c>
      <c r="E47" s="30"/>
      <c r="F47" s="30"/>
      <c r="G47" s="30"/>
      <c r="H47" s="30"/>
      <c r="I47" s="32">
        <f t="shared" si="1"/>
        <v>43114.100000000006</v>
      </c>
    </row>
    <row r="48" spans="1:12">
      <c r="A48" s="27" t="s">
        <v>14</v>
      </c>
      <c r="B48" s="27"/>
      <c r="C48" s="30">
        <v>6226.88</v>
      </c>
      <c r="D48" s="30">
        <v>6226.88</v>
      </c>
      <c r="E48" s="30"/>
      <c r="F48" s="30"/>
      <c r="G48" s="30"/>
      <c r="H48" s="30"/>
      <c r="I48" s="32">
        <f t="shared" si="1"/>
        <v>12453.76</v>
      </c>
    </row>
    <row r="49" spans="1:9">
      <c r="A49" s="27" t="s">
        <v>17</v>
      </c>
      <c r="B49" s="27"/>
      <c r="C49" s="30">
        <f>-6226.88</f>
        <v>-6226.88</v>
      </c>
      <c r="D49" s="30">
        <v>-6226.88</v>
      </c>
      <c r="E49" s="30"/>
      <c r="F49" s="30"/>
      <c r="G49" s="30"/>
      <c r="H49" s="30"/>
      <c r="I49" s="32">
        <f t="shared" si="1"/>
        <v>-12453.76</v>
      </c>
    </row>
    <row r="50" spans="1:9">
      <c r="A50" s="27" t="s">
        <v>15</v>
      </c>
      <c r="B50" s="27"/>
      <c r="C50" s="30">
        <f>1249.3+6970</f>
        <v>8219.2999999999993</v>
      </c>
      <c r="D50" s="30">
        <f>1287.74+7144.25</f>
        <v>8431.99</v>
      </c>
      <c r="E50" s="30"/>
      <c r="F50" s="30"/>
      <c r="G50" s="30"/>
      <c r="H50" s="30"/>
      <c r="I50" s="32">
        <f t="shared" si="1"/>
        <v>16651.29</v>
      </c>
    </row>
    <row r="51" spans="1:9">
      <c r="A51" s="27" t="s">
        <v>46</v>
      </c>
      <c r="B51" s="27"/>
      <c r="C51" s="30">
        <v>2460</v>
      </c>
      <c r="D51" s="30">
        <v>2536.88</v>
      </c>
      <c r="E51" s="30"/>
      <c r="F51" s="30"/>
      <c r="G51" s="30"/>
      <c r="H51" s="30"/>
      <c r="I51" s="32">
        <f t="shared" si="1"/>
        <v>4996.88</v>
      </c>
    </row>
    <row r="52" spans="1:9">
      <c r="A52" s="27"/>
      <c r="B52" s="27"/>
      <c r="C52" s="31"/>
      <c r="D52" s="31"/>
      <c r="E52" s="31"/>
      <c r="F52" s="31"/>
      <c r="G52" s="31"/>
      <c r="H52" s="30"/>
      <c r="I52" s="33"/>
    </row>
    <row r="53" spans="1:9">
      <c r="A53" s="27"/>
      <c r="B53" s="27"/>
      <c r="C53" s="28">
        <f>SUM(C21:C52)</f>
        <v>85684.53</v>
      </c>
      <c r="D53" s="28">
        <f>SUM(D21:D52)</f>
        <v>86601.830000000016</v>
      </c>
      <c r="E53" s="28">
        <f>SUM(E21:E52)</f>
        <v>0</v>
      </c>
      <c r="F53" s="28">
        <f>SUM(F21:F52)</f>
        <v>0</v>
      </c>
      <c r="G53" s="28">
        <f>SUM(G21:G52)</f>
        <v>0</v>
      </c>
      <c r="H53" s="28"/>
      <c r="I53" s="28">
        <f>SUM(I21:I52)</f>
        <v>172286.36000000002</v>
      </c>
    </row>
    <row r="54" spans="1:9">
      <c r="C54" s="26"/>
      <c r="D54" s="26"/>
      <c r="E54" s="26"/>
      <c r="F54" s="26"/>
      <c r="G54" s="26"/>
      <c r="H54" s="26"/>
      <c r="I54" s="26"/>
    </row>
    <row r="55" spans="1:9">
      <c r="A55" s="27" t="s">
        <v>13</v>
      </c>
      <c r="B55" s="27"/>
      <c r="C55" s="34">
        <f>C53-C14</f>
        <v>56000</v>
      </c>
      <c r="D55" s="34">
        <f>D53-D14</f>
        <v>0</v>
      </c>
      <c r="E55" s="34">
        <f>E53-E14</f>
        <v>0</v>
      </c>
      <c r="F55" s="34">
        <f>F53-F14</f>
        <v>0</v>
      </c>
      <c r="G55" s="34">
        <f>G53-G14</f>
        <v>0</v>
      </c>
      <c r="H55" s="27"/>
      <c r="I55" s="34">
        <f>I53-I14</f>
        <v>56000.000000000029</v>
      </c>
    </row>
    <row r="56" spans="1:9">
      <c r="G56" s="25"/>
    </row>
    <row r="57" spans="1:9">
      <c r="C57" s="25"/>
      <c r="D57" s="25"/>
      <c r="G57" s="25"/>
    </row>
  </sheetData>
  <mergeCells count="1">
    <mergeCell ref="K42:L43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/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3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5.75">
      <c r="A5" s="3" t="s">
        <v>56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ht="15.75">
      <c r="A8" s="4"/>
      <c r="B8" s="4"/>
      <c r="C8" s="5" t="s">
        <v>57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3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3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3" ht="15.75">
      <c r="A12" s="8" t="s">
        <v>9</v>
      </c>
      <c r="B12" s="4"/>
      <c r="C12" s="11">
        <v>42369</v>
      </c>
      <c r="D12" s="11">
        <v>42460</v>
      </c>
      <c r="E12" s="11">
        <v>42551</v>
      </c>
      <c r="F12" s="11">
        <v>42643</v>
      </c>
      <c r="G12" s="11">
        <v>42735</v>
      </c>
      <c r="H12" s="10"/>
      <c r="I12" s="9">
        <v>2016</v>
      </c>
      <c r="J12" s="11">
        <v>42735</v>
      </c>
      <c r="K12" s="11">
        <v>42369</v>
      </c>
      <c r="L12" s="9">
        <v>2016</v>
      </c>
    </row>
    <row r="13" spans="1:13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3" ht="15.75">
      <c r="A14" s="4" t="s">
        <v>10</v>
      </c>
      <c r="B14" s="4"/>
      <c r="C14" s="13">
        <f>28000+7911.41-6226.88</f>
        <v>29684.530000000002</v>
      </c>
      <c r="D14" s="13">
        <f>28000+28000+28000+8828.71-6226.88</f>
        <v>86601.829999999987</v>
      </c>
      <c r="E14" s="13">
        <f>28000</f>
        <v>28000</v>
      </c>
      <c r="F14" s="13"/>
      <c r="G14" s="13"/>
      <c r="H14" s="13"/>
      <c r="I14" s="13">
        <f>SUM(A14:H14)</f>
        <v>144286.35999999999</v>
      </c>
      <c r="J14" s="41">
        <f>9000+28000+28000-6226.88</f>
        <v>58773.120000000003</v>
      </c>
      <c r="K14" s="13">
        <v>29684.53</v>
      </c>
      <c r="L14" s="14">
        <f>+I14+J14-K14</f>
        <v>173374.94999999998</v>
      </c>
      <c r="M14" s="25"/>
    </row>
    <row r="15" spans="1:13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3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4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4" ht="15.75">
      <c r="A18" s="20" t="s">
        <v>8</v>
      </c>
      <c r="B18" s="21"/>
      <c r="C18" s="22">
        <f t="shared" ref="C18:L18" si="0">+C14</f>
        <v>29684.530000000002</v>
      </c>
      <c r="D18" s="22">
        <f t="shared" si="0"/>
        <v>86601.829999999987</v>
      </c>
      <c r="E18" s="22">
        <f t="shared" si="0"/>
        <v>28000</v>
      </c>
      <c r="F18" s="22">
        <f t="shared" si="0"/>
        <v>0</v>
      </c>
      <c r="G18" s="22">
        <f t="shared" si="0"/>
        <v>0</v>
      </c>
      <c r="H18" s="22"/>
      <c r="I18" s="22">
        <f t="shared" si="0"/>
        <v>144286.35999999999</v>
      </c>
      <c r="J18" s="22">
        <f t="shared" si="0"/>
        <v>58773.120000000003</v>
      </c>
      <c r="K18" s="22">
        <f t="shared" si="0"/>
        <v>29684.53</v>
      </c>
      <c r="L18" s="22">
        <f t="shared" si="0"/>
        <v>173374.94999999998</v>
      </c>
    </row>
    <row r="19" spans="1:14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4" ht="15.75">
      <c r="A20" s="23"/>
      <c r="B20" s="4"/>
      <c r="C20" s="4"/>
      <c r="D20" s="4"/>
      <c r="E20" s="4"/>
      <c r="F20" s="24"/>
      <c r="G20" s="24"/>
      <c r="H20" s="4"/>
      <c r="I20" s="4"/>
      <c r="J20" s="4"/>
      <c r="K20" s="4"/>
      <c r="L20" s="4"/>
    </row>
    <row r="21" spans="1:14" ht="15.75">
      <c r="A21" s="27" t="s">
        <v>25</v>
      </c>
      <c r="B21" s="27"/>
      <c r="C21" s="28">
        <v>520.57000000000005</v>
      </c>
      <c r="D21" s="28">
        <v>534.09</v>
      </c>
      <c r="E21" s="47">
        <v>534.09</v>
      </c>
      <c r="F21" s="28"/>
      <c r="G21" s="28"/>
      <c r="H21" s="28"/>
      <c r="I21" s="29">
        <f t="shared" ref="I21:I51" si="1">SUM(C21:G21)</f>
        <v>1588.75</v>
      </c>
      <c r="J21" s="4"/>
      <c r="K21" t="s">
        <v>61</v>
      </c>
      <c r="L21" s="40">
        <v>119911.41</v>
      </c>
    </row>
    <row r="22" spans="1:14">
      <c r="A22" s="27" t="s">
        <v>29</v>
      </c>
      <c r="B22" s="27"/>
      <c r="C22" s="30">
        <v>557.57000000000005</v>
      </c>
      <c r="D22" s="30">
        <v>564.92999999999995</v>
      </c>
      <c r="E22" s="48">
        <v>564.92999999999995</v>
      </c>
      <c r="F22" s="30"/>
      <c r="G22" s="30"/>
      <c r="H22" s="30"/>
      <c r="I22" s="32">
        <f t="shared" ref="I22" si="2">SUM(C22:G22)</f>
        <v>1687.4299999999998</v>
      </c>
      <c r="K22" t="s">
        <v>62</v>
      </c>
      <c r="L22" s="35">
        <f>-K14</f>
        <v>-29684.53</v>
      </c>
      <c r="M22" t="s">
        <v>40</v>
      </c>
    </row>
    <row r="23" spans="1:14">
      <c r="A23" s="27" t="s">
        <v>26</v>
      </c>
      <c r="B23" s="27"/>
      <c r="C23" s="28">
        <f>7718.71+15+20</f>
        <v>7753.71</v>
      </c>
      <c r="D23" s="28">
        <v>9603.16</v>
      </c>
      <c r="E23" s="47">
        <v>9603.16</v>
      </c>
      <c r="F23" s="28"/>
      <c r="G23" s="28"/>
      <c r="H23" s="28"/>
      <c r="I23" s="29">
        <f t="shared" si="1"/>
        <v>26960.03</v>
      </c>
      <c r="K23" t="s">
        <v>62</v>
      </c>
      <c r="L23" s="42">
        <v>-6226.88</v>
      </c>
      <c r="M23" t="s">
        <v>41</v>
      </c>
    </row>
    <row r="24" spans="1:14">
      <c r="A24" s="27" t="s">
        <v>27</v>
      </c>
      <c r="B24" s="27"/>
      <c r="C24" s="28">
        <v>195.87</v>
      </c>
      <c r="D24" s="28">
        <v>195.62</v>
      </c>
      <c r="E24" s="47">
        <v>195.62</v>
      </c>
      <c r="F24" s="28"/>
      <c r="G24" s="28"/>
      <c r="H24" s="28"/>
      <c r="I24" s="29">
        <f t="shared" ref="I24:I46" si="3">SUM(C24:G24)</f>
        <v>587.11</v>
      </c>
      <c r="K24" t="s">
        <v>63</v>
      </c>
      <c r="L24" s="42">
        <v>28000</v>
      </c>
      <c r="M24" s="39" t="s">
        <v>39</v>
      </c>
    </row>
    <row r="25" spans="1:14">
      <c r="A25" s="27" t="s">
        <v>30</v>
      </c>
      <c r="B25" s="27"/>
      <c r="C25" s="30">
        <v>3425.21</v>
      </c>
      <c r="D25" s="30">
        <v>2631.93</v>
      </c>
      <c r="E25" s="48">
        <v>2631.93</v>
      </c>
      <c r="F25" s="30"/>
      <c r="G25" s="30"/>
      <c r="H25" s="30"/>
      <c r="I25" s="32">
        <f t="shared" si="3"/>
        <v>8689.07</v>
      </c>
      <c r="K25" t="s">
        <v>64</v>
      </c>
      <c r="L25" s="40">
        <v>8828.7099999999991</v>
      </c>
    </row>
    <row r="26" spans="1:14">
      <c r="A26" s="27" t="s">
        <v>31</v>
      </c>
      <c r="B26" s="27"/>
      <c r="C26" s="30">
        <v>2069.58</v>
      </c>
      <c r="D26" s="30">
        <v>2142.7199999999998</v>
      </c>
      <c r="E26" s="48">
        <v>2142.7199999999998</v>
      </c>
      <c r="F26" s="30"/>
      <c r="G26" s="30"/>
      <c r="H26" s="30"/>
      <c r="I26" s="32">
        <f t="shared" si="3"/>
        <v>6355.0199999999986</v>
      </c>
      <c r="K26" t="s">
        <v>18</v>
      </c>
      <c r="L26" s="36">
        <f>D49+E49+F49+G49</f>
        <v>-12453.76</v>
      </c>
    </row>
    <row r="27" spans="1:14">
      <c r="A27" s="27" t="s">
        <v>32</v>
      </c>
      <c r="B27" s="27"/>
      <c r="C27" s="30">
        <v>2838.41</v>
      </c>
      <c r="D27" s="30">
        <v>3163.99</v>
      </c>
      <c r="E27" s="48">
        <v>3163.99</v>
      </c>
      <c r="F27" s="30"/>
      <c r="G27" s="30"/>
      <c r="H27" s="30"/>
      <c r="I27" s="32">
        <f t="shared" si="3"/>
        <v>9166.39</v>
      </c>
      <c r="K27" s="37" t="s">
        <v>65</v>
      </c>
      <c r="L27" s="35">
        <f>SUM(L21:L26)</f>
        <v>108374.95</v>
      </c>
      <c r="M27" s="25"/>
      <c r="N27" s="25"/>
    </row>
    <row r="28" spans="1:14">
      <c r="A28" s="27" t="s">
        <v>42</v>
      </c>
      <c r="B28" s="27"/>
      <c r="C28" s="30">
        <v>5561.8</v>
      </c>
      <c r="D28" s="30">
        <v>5186.37</v>
      </c>
      <c r="E28" s="48">
        <v>5186.37</v>
      </c>
      <c r="F28" s="30"/>
      <c r="G28" s="30"/>
      <c r="H28" s="30"/>
      <c r="I28" s="32">
        <f t="shared" si="3"/>
        <v>15934.54</v>
      </c>
    </row>
    <row r="29" spans="1:14">
      <c r="A29" s="27" t="s">
        <v>50</v>
      </c>
      <c r="B29" s="27"/>
      <c r="C29" s="30">
        <v>1803.32</v>
      </c>
      <c r="D29" s="30">
        <v>1784.32</v>
      </c>
      <c r="E29" s="48">
        <v>1784.32</v>
      </c>
      <c r="F29" s="30"/>
      <c r="G29" s="30"/>
      <c r="H29" s="30"/>
      <c r="I29" s="32">
        <f t="shared" si="3"/>
        <v>5371.96</v>
      </c>
    </row>
    <row r="30" spans="1:14">
      <c r="A30" s="27" t="s">
        <v>33</v>
      </c>
      <c r="B30" s="27"/>
      <c r="C30" s="30">
        <v>265.2</v>
      </c>
      <c r="D30" s="30">
        <v>274.94</v>
      </c>
      <c r="E30" s="48">
        <v>274.94</v>
      </c>
      <c r="F30" s="30"/>
      <c r="G30" s="30"/>
      <c r="H30" s="30"/>
      <c r="I30" s="32">
        <f t="shared" si="3"/>
        <v>815.07999999999993</v>
      </c>
      <c r="K30" s="38" t="s">
        <v>19</v>
      </c>
    </row>
    <row r="31" spans="1:14">
      <c r="A31" s="27" t="s">
        <v>34</v>
      </c>
      <c r="B31" s="27"/>
      <c r="C31" s="28">
        <v>192.39</v>
      </c>
      <c r="D31" s="28">
        <v>192.4</v>
      </c>
      <c r="E31" s="47">
        <v>192.4</v>
      </c>
      <c r="F31" s="28"/>
      <c r="G31" s="28"/>
      <c r="H31" s="28"/>
      <c r="I31" s="29">
        <f t="shared" si="3"/>
        <v>577.18999999999994</v>
      </c>
      <c r="K31" t="s">
        <v>20</v>
      </c>
      <c r="L31" s="40">
        <f>J14</f>
        <v>58773.120000000003</v>
      </c>
    </row>
    <row r="32" spans="1:14">
      <c r="A32" s="27" t="s">
        <v>35</v>
      </c>
      <c r="B32" s="27"/>
      <c r="C32" s="28">
        <v>7479.03</v>
      </c>
      <c r="D32" s="28">
        <v>6819.22</v>
      </c>
      <c r="E32" s="47">
        <v>6819.22</v>
      </c>
      <c r="F32" s="28"/>
      <c r="G32" s="28"/>
      <c r="H32" s="28"/>
      <c r="I32" s="29">
        <f t="shared" si="3"/>
        <v>21117.47</v>
      </c>
      <c r="K32" t="s">
        <v>21</v>
      </c>
      <c r="L32" s="36">
        <v>6226.88</v>
      </c>
    </row>
    <row r="33" spans="1:12">
      <c r="A33" s="27" t="s">
        <v>36</v>
      </c>
      <c r="B33" s="27"/>
      <c r="C33" s="28">
        <v>14913.57</v>
      </c>
      <c r="D33" s="28">
        <v>15535.49</v>
      </c>
      <c r="E33" s="47">
        <v>15535.49</v>
      </c>
      <c r="F33" s="28"/>
      <c r="G33" s="28"/>
      <c r="H33" s="28"/>
      <c r="I33" s="29">
        <f t="shared" si="3"/>
        <v>45984.549999999996</v>
      </c>
      <c r="K33" s="39" t="s">
        <v>22</v>
      </c>
      <c r="L33" s="35">
        <f>SUM(L31:L32)</f>
        <v>65000</v>
      </c>
    </row>
    <row r="34" spans="1:12">
      <c r="A34" s="27" t="s">
        <v>28</v>
      </c>
      <c r="B34" s="27"/>
      <c r="C34" s="28">
        <v>1349.03</v>
      </c>
      <c r="D34" s="28">
        <v>1156.74</v>
      </c>
      <c r="E34" s="47">
        <v>1156.74</v>
      </c>
      <c r="F34" s="28"/>
      <c r="G34" s="28"/>
      <c r="H34" s="28"/>
      <c r="I34" s="29">
        <f t="shared" si="3"/>
        <v>3662.51</v>
      </c>
    </row>
    <row r="35" spans="1:12">
      <c r="A35" s="27" t="s">
        <v>37</v>
      </c>
      <c r="B35" s="27"/>
      <c r="C35" s="30">
        <v>304.89999999999998</v>
      </c>
      <c r="D35" s="30">
        <v>304.89999999999998</v>
      </c>
      <c r="E35" s="48">
        <v>304.89999999999998</v>
      </c>
      <c r="F35" s="30"/>
      <c r="G35" s="30"/>
      <c r="H35" s="30"/>
      <c r="I35" s="32">
        <f t="shared" si="3"/>
        <v>914.69999999999993</v>
      </c>
      <c r="K35" s="39" t="s">
        <v>58</v>
      </c>
    </row>
    <row r="36" spans="1:12">
      <c r="A36" s="27" t="s">
        <v>38</v>
      </c>
      <c r="B36" s="27"/>
      <c r="C36" s="28">
        <v>325.31</v>
      </c>
      <c r="D36" s="28">
        <v>323.89</v>
      </c>
      <c r="E36" s="47">
        <v>323.89</v>
      </c>
      <c r="F36" s="28"/>
      <c r="G36" s="28"/>
      <c r="H36" s="28"/>
      <c r="I36" s="29">
        <f t="shared" si="3"/>
        <v>973.09</v>
      </c>
      <c r="K36" s="39" t="s">
        <v>23</v>
      </c>
    </row>
    <row r="37" spans="1:12">
      <c r="A37" s="27" t="s">
        <v>43</v>
      </c>
      <c r="B37" s="27"/>
      <c r="C37" s="30">
        <v>299.38</v>
      </c>
      <c r="D37" s="30">
        <v>304.24</v>
      </c>
      <c r="E37" s="48">
        <v>304.24</v>
      </c>
      <c r="F37" s="30"/>
      <c r="G37" s="30"/>
      <c r="H37" s="30"/>
      <c r="I37" s="32">
        <f t="shared" si="3"/>
        <v>907.86</v>
      </c>
      <c r="K37" s="39" t="s">
        <v>59</v>
      </c>
    </row>
    <row r="38" spans="1:12">
      <c r="A38" s="27" t="s">
        <v>44</v>
      </c>
      <c r="B38" s="27"/>
      <c r="C38" s="30">
        <v>249.68</v>
      </c>
      <c r="D38" s="30">
        <v>256.77999999999997</v>
      </c>
      <c r="E38" s="48">
        <v>256.77999999999997</v>
      </c>
      <c r="F38" s="30"/>
      <c r="G38" s="30"/>
      <c r="H38" s="30"/>
      <c r="I38" s="32">
        <f t="shared" si="3"/>
        <v>763.24</v>
      </c>
      <c r="K38" s="39" t="s">
        <v>24</v>
      </c>
    </row>
    <row r="39" spans="1:12">
      <c r="A39" s="27" t="s">
        <v>45</v>
      </c>
      <c r="B39" s="27"/>
      <c r="C39" s="30">
        <v>243.92</v>
      </c>
      <c r="D39" s="30">
        <v>248.55</v>
      </c>
      <c r="E39" s="48">
        <v>248.55</v>
      </c>
      <c r="F39" s="30"/>
      <c r="G39" s="30"/>
      <c r="H39" s="30"/>
      <c r="I39" s="32">
        <f t="shared" si="3"/>
        <v>741.02</v>
      </c>
      <c r="K39" s="39" t="s">
        <v>60</v>
      </c>
    </row>
    <row r="40" spans="1:12">
      <c r="A40" s="27" t="s">
        <v>51</v>
      </c>
      <c r="B40" s="27"/>
      <c r="C40" s="30">
        <v>391.05</v>
      </c>
      <c r="D40" s="30">
        <v>355.41</v>
      </c>
      <c r="E40" s="48">
        <v>355.41</v>
      </c>
      <c r="F40" s="30"/>
      <c r="G40" s="30"/>
      <c r="H40" s="30"/>
      <c r="I40" s="32">
        <f t="shared" si="3"/>
        <v>1101.8700000000001</v>
      </c>
    </row>
    <row r="41" spans="1:12">
      <c r="A41" s="27" t="s">
        <v>52</v>
      </c>
      <c r="B41" s="27"/>
      <c r="C41" s="30">
        <v>299.23</v>
      </c>
      <c r="D41" s="30">
        <v>295.22000000000003</v>
      </c>
      <c r="E41" s="48">
        <v>295.22000000000003</v>
      </c>
      <c r="F41" s="30"/>
      <c r="G41" s="30"/>
      <c r="H41" s="30"/>
      <c r="I41" s="32">
        <f t="shared" si="3"/>
        <v>889.67000000000007</v>
      </c>
    </row>
    <row r="42" spans="1:12">
      <c r="A42" s="27" t="s">
        <v>53</v>
      </c>
      <c r="B42" s="27"/>
      <c r="C42" s="30">
        <v>454.73</v>
      </c>
      <c r="D42" s="30">
        <v>433.48</v>
      </c>
      <c r="E42" s="48">
        <v>433.48</v>
      </c>
      <c r="F42" s="30"/>
      <c r="G42" s="30"/>
      <c r="H42" s="30"/>
      <c r="I42" s="32">
        <f t="shared" si="3"/>
        <v>1321.69</v>
      </c>
      <c r="K42" s="46" t="s">
        <v>49</v>
      </c>
      <c r="L42" s="46"/>
    </row>
    <row r="43" spans="1:12">
      <c r="A43" s="27" t="s">
        <v>54</v>
      </c>
      <c r="B43" s="27"/>
      <c r="C43" s="30">
        <v>650.49</v>
      </c>
      <c r="D43" s="30">
        <v>633.77</v>
      </c>
      <c r="E43" s="48">
        <v>633.77</v>
      </c>
      <c r="F43" s="30"/>
      <c r="G43" s="30"/>
      <c r="H43" s="30"/>
      <c r="I43" s="32">
        <f t="shared" si="3"/>
        <v>1918.03</v>
      </c>
      <c r="K43" s="46"/>
      <c r="L43" s="46"/>
    </row>
    <row r="44" spans="1:12">
      <c r="A44" s="27" t="s">
        <v>55</v>
      </c>
      <c r="B44" s="27"/>
      <c r="C44" s="28">
        <f>142.02+85+20.18</f>
        <v>247.20000000000002</v>
      </c>
      <c r="D44" s="28">
        <f>140.73+0.05</f>
        <v>140.78</v>
      </c>
      <c r="E44" s="47">
        <f>140.73+0.05</f>
        <v>140.78</v>
      </c>
      <c r="F44" s="28"/>
      <c r="G44" s="28"/>
      <c r="H44" s="28"/>
      <c r="I44" s="29">
        <f t="shared" si="3"/>
        <v>528.76</v>
      </c>
      <c r="K44" s="44"/>
      <c r="L44" s="44"/>
    </row>
    <row r="45" spans="1:12">
      <c r="A45" s="27" t="s">
        <v>47</v>
      </c>
      <c r="B45" s="27"/>
      <c r="C45" s="28">
        <v>0</v>
      </c>
      <c r="D45" s="28">
        <v>0</v>
      </c>
      <c r="E45" s="47">
        <v>0</v>
      </c>
      <c r="F45" s="28"/>
      <c r="G45" s="28"/>
      <c r="H45" s="28"/>
      <c r="I45" s="29">
        <f t="shared" si="3"/>
        <v>0</v>
      </c>
    </row>
    <row r="46" spans="1:12">
      <c r="A46" s="27" t="s">
        <v>48</v>
      </c>
      <c r="B46" s="27"/>
      <c r="C46" s="28">
        <v>1025</v>
      </c>
      <c r="D46" s="28">
        <v>1025</v>
      </c>
      <c r="E46" s="47">
        <v>1025</v>
      </c>
      <c r="F46" s="28"/>
      <c r="G46" s="28"/>
      <c r="H46" s="28"/>
      <c r="I46" s="29">
        <f t="shared" si="3"/>
        <v>3075</v>
      </c>
    </row>
    <row r="47" spans="1:12">
      <c r="A47" s="27" t="s">
        <v>16</v>
      </c>
      <c r="B47" s="27"/>
      <c r="C47" s="30">
        <v>21589.08</v>
      </c>
      <c r="D47" s="30">
        <v>21525.02</v>
      </c>
      <c r="E47" s="48">
        <v>21525.02</v>
      </c>
      <c r="F47" s="30"/>
      <c r="G47" s="30"/>
      <c r="H47" s="30"/>
      <c r="I47" s="32">
        <f t="shared" si="1"/>
        <v>64639.12000000001</v>
      </c>
    </row>
    <row r="48" spans="1:12">
      <c r="A48" s="27" t="s">
        <v>14</v>
      </c>
      <c r="B48" s="27"/>
      <c r="C48" s="30">
        <v>6226.88</v>
      </c>
      <c r="D48" s="30">
        <v>6226.88</v>
      </c>
      <c r="E48" s="48">
        <v>6226.88</v>
      </c>
      <c r="F48" s="30"/>
      <c r="G48" s="30"/>
      <c r="H48" s="30"/>
      <c r="I48" s="32">
        <f t="shared" si="1"/>
        <v>18680.64</v>
      </c>
    </row>
    <row r="49" spans="1:9">
      <c r="A49" s="27" t="s">
        <v>17</v>
      </c>
      <c r="B49" s="27"/>
      <c r="C49" s="30">
        <f>-6226.88</f>
        <v>-6226.88</v>
      </c>
      <c r="D49" s="30">
        <v>-6226.88</v>
      </c>
      <c r="E49" s="48">
        <v>-6226.88</v>
      </c>
      <c r="F49" s="30"/>
      <c r="G49" s="30"/>
      <c r="H49" s="30"/>
      <c r="I49" s="32">
        <f t="shared" si="1"/>
        <v>-18680.64</v>
      </c>
    </row>
    <row r="50" spans="1:9">
      <c r="A50" s="27" t="s">
        <v>15</v>
      </c>
      <c r="B50" s="27"/>
      <c r="C50" s="30">
        <f>1249.3+6970</f>
        <v>8219.2999999999993</v>
      </c>
      <c r="D50" s="30">
        <f>1287.74+7144.25</f>
        <v>8431.99</v>
      </c>
      <c r="E50" s="48">
        <f>1287.74+7144.25</f>
        <v>8431.99</v>
      </c>
      <c r="F50" s="30"/>
      <c r="G50" s="30"/>
      <c r="H50" s="30"/>
      <c r="I50" s="32">
        <f t="shared" si="1"/>
        <v>25083.279999999999</v>
      </c>
    </row>
    <row r="51" spans="1:9">
      <c r="A51" s="27" t="s">
        <v>46</v>
      </c>
      <c r="B51" s="27"/>
      <c r="C51" s="30">
        <v>2460</v>
      </c>
      <c r="D51" s="30">
        <v>2536.88</v>
      </c>
      <c r="E51" s="48">
        <v>2536.88</v>
      </c>
      <c r="F51" s="30"/>
      <c r="G51" s="30"/>
      <c r="H51" s="30"/>
      <c r="I51" s="32">
        <f t="shared" si="1"/>
        <v>7533.76</v>
      </c>
    </row>
    <row r="52" spans="1:9">
      <c r="A52" s="27"/>
      <c r="B52" s="27"/>
      <c r="C52" s="31"/>
      <c r="D52" s="31"/>
      <c r="E52" s="31"/>
      <c r="F52" s="31"/>
      <c r="G52" s="31"/>
      <c r="H52" s="30"/>
      <c r="I52" s="33"/>
    </row>
    <row r="53" spans="1:9">
      <c r="A53" s="27"/>
      <c r="B53" s="27"/>
      <c r="C53" s="28">
        <f>SUM(C21:C52)</f>
        <v>85684.53</v>
      </c>
      <c r="D53" s="28">
        <f>SUM(D21:D52)</f>
        <v>86601.830000000016</v>
      </c>
      <c r="E53" s="28">
        <f>SUM(E21:E52)</f>
        <v>86601.830000000016</v>
      </c>
      <c r="F53" s="28">
        <f>SUM(F21:F52)</f>
        <v>0</v>
      </c>
      <c r="G53" s="28">
        <f>SUM(G21:G52)</f>
        <v>0</v>
      </c>
      <c r="H53" s="28"/>
      <c r="I53" s="28">
        <f>SUM(I21:I52)</f>
        <v>258888.19000000003</v>
      </c>
    </row>
    <row r="54" spans="1:9">
      <c r="C54" s="26"/>
      <c r="D54" s="26"/>
      <c r="E54" s="26"/>
      <c r="F54" s="26"/>
      <c r="G54" s="26"/>
      <c r="H54" s="26"/>
      <c r="I54" s="26"/>
    </row>
    <row r="55" spans="1:9">
      <c r="A55" s="27" t="s">
        <v>13</v>
      </c>
      <c r="B55" s="27"/>
      <c r="C55" s="34">
        <f>C53-C14</f>
        <v>56000</v>
      </c>
      <c r="D55" s="34">
        <f>D53-D14</f>
        <v>0</v>
      </c>
      <c r="E55" s="34">
        <f>E53-E14</f>
        <v>58601.830000000016</v>
      </c>
      <c r="F55" s="34">
        <f>F53-F14</f>
        <v>0</v>
      </c>
      <c r="G55" s="34">
        <f>G53-G14</f>
        <v>0</v>
      </c>
      <c r="H55" s="27"/>
      <c r="I55" s="34">
        <f>I53-I14</f>
        <v>114601.83000000005</v>
      </c>
    </row>
    <row r="56" spans="1:9">
      <c r="G56" s="25"/>
    </row>
    <row r="57" spans="1:9">
      <c r="C57" s="25"/>
      <c r="D57" s="25"/>
      <c r="G57" s="25"/>
    </row>
  </sheetData>
  <mergeCells count="1">
    <mergeCell ref="K42:L43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/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4" bestFit="1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3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5.75">
      <c r="A5" s="3" t="s">
        <v>56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ht="15.75">
      <c r="A8" s="4"/>
      <c r="B8" s="4"/>
      <c r="C8" s="5" t="s">
        <v>57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3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3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3" ht="15.75">
      <c r="A12" s="8" t="s">
        <v>9</v>
      </c>
      <c r="B12" s="4"/>
      <c r="C12" s="11">
        <v>42369</v>
      </c>
      <c r="D12" s="11">
        <v>42460</v>
      </c>
      <c r="E12" s="11">
        <v>42551</v>
      </c>
      <c r="F12" s="11">
        <v>42643</v>
      </c>
      <c r="G12" s="11">
        <v>42735</v>
      </c>
      <c r="H12" s="10"/>
      <c r="I12" s="9">
        <v>2016</v>
      </c>
      <c r="J12" s="11">
        <v>42735</v>
      </c>
      <c r="K12" s="11">
        <v>42369</v>
      </c>
      <c r="L12" s="9">
        <v>2016</v>
      </c>
    </row>
    <row r="13" spans="1:13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3" ht="15.75">
      <c r="A14" s="4" t="s">
        <v>10</v>
      </c>
      <c r="B14" s="4"/>
      <c r="C14" s="13">
        <f>28000+7911.41-6226.88</f>
        <v>29684.530000000002</v>
      </c>
      <c r="D14" s="13">
        <f>28000+28000+28000+8828.71-6226.88</f>
        <v>86601.829999999987</v>
      </c>
      <c r="E14" s="13">
        <f>28000</f>
        <v>28000</v>
      </c>
      <c r="F14" s="13">
        <f>28000+28000+28000+28000+0-6226.88</f>
        <v>105773.12</v>
      </c>
      <c r="G14" s="13"/>
      <c r="H14" s="13"/>
      <c r="I14" s="13">
        <f>SUM(A14:H14)</f>
        <v>250059.47999999998</v>
      </c>
      <c r="J14" s="41">
        <f>9000+28000-6226.88</f>
        <v>30773.119999999999</v>
      </c>
      <c r="K14" s="13">
        <v>29684.53</v>
      </c>
      <c r="L14" s="14">
        <f>+I14+J14-K14</f>
        <v>251148.06999999998</v>
      </c>
      <c r="M14" s="25"/>
    </row>
    <row r="15" spans="1:13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3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4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4" ht="15.75">
      <c r="A18" s="20" t="s">
        <v>8</v>
      </c>
      <c r="B18" s="21"/>
      <c r="C18" s="22">
        <f t="shared" ref="C18:L18" si="0">+C14</f>
        <v>29684.530000000002</v>
      </c>
      <c r="D18" s="22">
        <f t="shared" si="0"/>
        <v>86601.829999999987</v>
      </c>
      <c r="E18" s="22">
        <f t="shared" si="0"/>
        <v>28000</v>
      </c>
      <c r="F18" s="22">
        <f t="shared" si="0"/>
        <v>105773.12</v>
      </c>
      <c r="G18" s="22">
        <f t="shared" si="0"/>
        <v>0</v>
      </c>
      <c r="H18" s="22"/>
      <c r="I18" s="22">
        <f t="shared" si="0"/>
        <v>250059.47999999998</v>
      </c>
      <c r="J18" s="22">
        <f t="shared" si="0"/>
        <v>30773.119999999999</v>
      </c>
      <c r="K18" s="22">
        <f t="shared" si="0"/>
        <v>29684.53</v>
      </c>
      <c r="L18" s="22">
        <f t="shared" si="0"/>
        <v>251148.06999999998</v>
      </c>
    </row>
    <row r="19" spans="1:14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4" ht="15.75">
      <c r="A20" s="23"/>
      <c r="B20" s="4"/>
      <c r="C20" s="4"/>
      <c r="D20" s="4"/>
      <c r="E20" s="4"/>
      <c r="F20" s="24"/>
      <c r="G20" s="24"/>
      <c r="H20" s="4"/>
      <c r="I20" s="4"/>
      <c r="J20" s="4"/>
      <c r="K20" s="4"/>
      <c r="L20" s="4"/>
    </row>
    <row r="21" spans="1:14" ht="15.75">
      <c r="A21" s="27" t="s">
        <v>25</v>
      </c>
      <c r="B21" s="27"/>
      <c r="C21" s="28">
        <v>520.57000000000005</v>
      </c>
      <c r="D21" s="28">
        <v>534.09</v>
      </c>
      <c r="E21" s="47"/>
      <c r="F21" s="28"/>
      <c r="G21" s="28"/>
      <c r="H21" s="28"/>
      <c r="I21" s="29">
        <f t="shared" ref="I21:I51" si="1">SUM(C21:G21)</f>
        <v>1054.6600000000001</v>
      </c>
      <c r="J21" s="4"/>
      <c r="K21" t="s">
        <v>61</v>
      </c>
      <c r="L21" s="40">
        <v>119911.41</v>
      </c>
    </row>
    <row r="22" spans="1:14">
      <c r="A22" s="27" t="s">
        <v>29</v>
      </c>
      <c r="B22" s="27"/>
      <c r="C22" s="30">
        <v>557.57000000000005</v>
      </c>
      <c r="D22" s="30">
        <v>564.92999999999995</v>
      </c>
      <c r="E22" s="48"/>
      <c r="F22" s="30"/>
      <c r="G22" s="30"/>
      <c r="H22" s="30"/>
      <c r="I22" s="32">
        <f t="shared" ref="I22" si="2">SUM(C22:G22)</f>
        <v>1122.5</v>
      </c>
      <c r="K22" t="s">
        <v>62</v>
      </c>
      <c r="L22" s="35">
        <f>-K14</f>
        <v>-29684.53</v>
      </c>
      <c r="M22" t="s">
        <v>40</v>
      </c>
    </row>
    <row r="23" spans="1:14">
      <c r="A23" s="27" t="s">
        <v>26</v>
      </c>
      <c r="B23" s="27"/>
      <c r="C23" s="28">
        <f>7718.71+15+20</f>
        <v>7753.71</v>
      </c>
      <c r="D23" s="28">
        <v>9603.16</v>
      </c>
      <c r="E23" s="47"/>
      <c r="F23" s="28"/>
      <c r="G23" s="28"/>
      <c r="H23" s="28"/>
      <c r="I23" s="29">
        <f t="shared" si="1"/>
        <v>17356.87</v>
      </c>
      <c r="K23" t="s">
        <v>62</v>
      </c>
      <c r="L23" s="42">
        <v>-6226.88</v>
      </c>
      <c r="M23" t="s">
        <v>41</v>
      </c>
    </row>
    <row r="24" spans="1:14">
      <c r="A24" s="27" t="s">
        <v>27</v>
      </c>
      <c r="B24" s="27"/>
      <c r="C24" s="28">
        <v>195.87</v>
      </c>
      <c r="D24" s="28">
        <v>195.62</v>
      </c>
      <c r="E24" s="47"/>
      <c r="F24" s="28"/>
      <c r="G24" s="28"/>
      <c r="H24" s="28"/>
      <c r="I24" s="29">
        <f t="shared" ref="I24:I46" si="3">SUM(C24:G24)</f>
        <v>391.49</v>
      </c>
      <c r="K24" t="s">
        <v>63</v>
      </c>
      <c r="L24" s="42">
        <v>28000</v>
      </c>
      <c r="M24" s="39" t="s">
        <v>39</v>
      </c>
    </row>
    <row r="25" spans="1:14">
      <c r="A25" s="27" t="s">
        <v>30</v>
      </c>
      <c r="B25" s="27"/>
      <c r="C25" s="30">
        <v>3425.21</v>
      </c>
      <c r="D25" s="30">
        <v>2631.93</v>
      </c>
      <c r="E25" s="48"/>
      <c r="F25" s="30"/>
      <c r="G25" s="30"/>
      <c r="H25" s="30"/>
      <c r="I25" s="32">
        <f t="shared" si="3"/>
        <v>6057.1399999999994</v>
      </c>
      <c r="K25" t="s">
        <v>64</v>
      </c>
      <c r="L25" s="40">
        <v>8828.7099999999991</v>
      </c>
    </row>
    <row r="26" spans="1:14">
      <c r="A26" s="27" t="s">
        <v>31</v>
      </c>
      <c r="B26" s="27"/>
      <c r="C26" s="30">
        <v>2069.58</v>
      </c>
      <c r="D26" s="30">
        <v>2142.7199999999998</v>
      </c>
      <c r="E26" s="48"/>
      <c r="F26" s="30"/>
      <c r="G26" s="30"/>
      <c r="H26" s="30"/>
      <c r="I26" s="32">
        <f t="shared" si="3"/>
        <v>4212.2999999999993</v>
      </c>
      <c r="K26" t="s">
        <v>18</v>
      </c>
      <c r="L26" s="36">
        <f>D49+E49+F49+G49</f>
        <v>-6226.88</v>
      </c>
    </row>
    <row r="27" spans="1:14">
      <c r="A27" s="27" t="s">
        <v>32</v>
      </c>
      <c r="B27" s="27"/>
      <c r="C27" s="30">
        <v>2838.41</v>
      </c>
      <c r="D27" s="30">
        <v>3163.99</v>
      </c>
      <c r="E27" s="48"/>
      <c r="F27" s="30"/>
      <c r="G27" s="30"/>
      <c r="H27" s="30"/>
      <c r="I27" s="32">
        <f t="shared" si="3"/>
        <v>6002.4</v>
      </c>
      <c r="K27" s="37" t="s">
        <v>65</v>
      </c>
      <c r="L27" s="35">
        <f>SUM(L21:L26)</f>
        <v>114601.82999999999</v>
      </c>
      <c r="M27" s="25"/>
      <c r="N27" s="25"/>
    </row>
    <row r="28" spans="1:14">
      <c r="A28" s="27" t="s">
        <v>42</v>
      </c>
      <c r="B28" s="27"/>
      <c r="C28" s="30">
        <v>5561.8</v>
      </c>
      <c r="D28" s="30">
        <v>5186.37</v>
      </c>
      <c r="E28" s="48"/>
      <c r="F28" s="30"/>
      <c r="G28" s="30"/>
      <c r="H28" s="30"/>
      <c r="I28" s="32">
        <f t="shared" si="3"/>
        <v>10748.17</v>
      </c>
    </row>
    <row r="29" spans="1:14">
      <c r="A29" s="27" t="s">
        <v>50</v>
      </c>
      <c r="B29" s="27"/>
      <c r="C29" s="30">
        <v>1803.32</v>
      </c>
      <c r="D29" s="30">
        <v>1784.32</v>
      </c>
      <c r="E29" s="48"/>
      <c r="F29" s="30"/>
      <c r="G29" s="30"/>
      <c r="H29" s="30"/>
      <c r="I29" s="32">
        <f t="shared" si="3"/>
        <v>3587.64</v>
      </c>
    </row>
    <row r="30" spans="1:14">
      <c r="A30" s="27" t="s">
        <v>33</v>
      </c>
      <c r="B30" s="27"/>
      <c r="C30" s="30">
        <v>265.2</v>
      </c>
      <c r="D30" s="30">
        <v>274.94</v>
      </c>
      <c r="E30" s="48"/>
      <c r="F30" s="30"/>
      <c r="G30" s="30"/>
      <c r="H30" s="30"/>
      <c r="I30" s="32">
        <f t="shared" si="3"/>
        <v>540.14</v>
      </c>
      <c r="K30" s="38" t="s">
        <v>19</v>
      </c>
    </row>
    <row r="31" spans="1:14">
      <c r="A31" s="27" t="s">
        <v>34</v>
      </c>
      <c r="B31" s="27"/>
      <c r="C31" s="28">
        <v>192.39</v>
      </c>
      <c r="D31" s="28">
        <v>192.4</v>
      </c>
      <c r="E31" s="47"/>
      <c r="F31" s="28"/>
      <c r="G31" s="28"/>
      <c r="H31" s="28"/>
      <c r="I31" s="29">
        <f t="shared" si="3"/>
        <v>384.78999999999996</v>
      </c>
      <c r="K31" t="s">
        <v>20</v>
      </c>
      <c r="L31" s="40">
        <f>J14</f>
        <v>30773.119999999999</v>
      </c>
    </row>
    <row r="32" spans="1:14">
      <c r="A32" s="27" t="s">
        <v>35</v>
      </c>
      <c r="B32" s="27"/>
      <c r="C32" s="28">
        <v>7479.03</v>
      </c>
      <c r="D32" s="28">
        <v>6819.22</v>
      </c>
      <c r="E32" s="47"/>
      <c r="F32" s="28"/>
      <c r="G32" s="28"/>
      <c r="H32" s="28"/>
      <c r="I32" s="29">
        <f t="shared" si="3"/>
        <v>14298.25</v>
      </c>
      <c r="K32" t="s">
        <v>21</v>
      </c>
      <c r="L32" s="36">
        <v>6226.88</v>
      </c>
    </row>
    <row r="33" spans="1:12">
      <c r="A33" s="27" t="s">
        <v>36</v>
      </c>
      <c r="B33" s="27"/>
      <c r="C33" s="28">
        <v>14913.57</v>
      </c>
      <c r="D33" s="28">
        <v>15535.49</v>
      </c>
      <c r="E33" s="47"/>
      <c r="F33" s="28"/>
      <c r="G33" s="28"/>
      <c r="H33" s="28"/>
      <c r="I33" s="29">
        <f t="shared" si="3"/>
        <v>30449.059999999998</v>
      </c>
      <c r="K33" s="39" t="s">
        <v>22</v>
      </c>
      <c r="L33" s="35">
        <f>SUM(L31:L32)</f>
        <v>37000</v>
      </c>
    </row>
    <row r="34" spans="1:12">
      <c r="A34" s="27" t="s">
        <v>28</v>
      </c>
      <c r="B34" s="27"/>
      <c r="C34" s="28">
        <v>1349.03</v>
      </c>
      <c r="D34" s="28">
        <v>1156.74</v>
      </c>
      <c r="E34" s="47"/>
      <c r="F34" s="28"/>
      <c r="G34" s="28"/>
      <c r="H34" s="28"/>
      <c r="I34" s="29">
        <f t="shared" si="3"/>
        <v>2505.77</v>
      </c>
    </row>
    <row r="35" spans="1:12">
      <c r="A35" s="27" t="s">
        <v>37</v>
      </c>
      <c r="B35" s="27"/>
      <c r="C35" s="30">
        <v>304.89999999999998</v>
      </c>
      <c r="D35" s="30">
        <v>304.89999999999998</v>
      </c>
      <c r="E35" s="48"/>
      <c r="F35" s="30"/>
      <c r="G35" s="30"/>
      <c r="H35" s="30"/>
      <c r="I35" s="32">
        <f t="shared" si="3"/>
        <v>609.79999999999995</v>
      </c>
      <c r="K35" s="39" t="s">
        <v>58</v>
      </c>
    </row>
    <row r="36" spans="1:12">
      <c r="A36" s="27" t="s">
        <v>38</v>
      </c>
      <c r="B36" s="27"/>
      <c r="C36" s="28">
        <v>325.31</v>
      </c>
      <c r="D36" s="28">
        <v>323.89</v>
      </c>
      <c r="E36" s="47"/>
      <c r="F36" s="28"/>
      <c r="G36" s="28"/>
      <c r="H36" s="28"/>
      <c r="I36" s="29">
        <f t="shared" si="3"/>
        <v>649.20000000000005</v>
      </c>
      <c r="K36" s="39" t="s">
        <v>23</v>
      </c>
    </row>
    <row r="37" spans="1:12">
      <c r="A37" s="27" t="s">
        <v>43</v>
      </c>
      <c r="B37" s="27"/>
      <c r="C37" s="30">
        <v>299.38</v>
      </c>
      <c r="D37" s="30">
        <v>304.24</v>
      </c>
      <c r="E37" s="48"/>
      <c r="F37" s="30"/>
      <c r="G37" s="30"/>
      <c r="H37" s="30"/>
      <c r="I37" s="32">
        <f t="shared" si="3"/>
        <v>603.62</v>
      </c>
      <c r="K37" s="39" t="s">
        <v>59</v>
      </c>
    </row>
    <row r="38" spans="1:12">
      <c r="A38" s="27" t="s">
        <v>44</v>
      </c>
      <c r="B38" s="27"/>
      <c r="C38" s="30">
        <v>249.68</v>
      </c>
      <c r="D38" s="30">
        <v>256.77999999999997</v>
      </c>
      <c r="E38" s="48"/>
      <c r="F38" s="30"/>
      <c r="G38" s="30"/>
      <c r="H38" s="30"/>
      <c r="I38" s="32">
        <f t="shared" si="3"/>
        <v>506.46</v>
      </c>
      <c r="K38" s="39" t="s">
        <v>24</v>
      </c>
    </row>
    <row r="39" spans="1:12">
      <c r="A39" s="27" t="s">
        <v>45</v>
      </c>
      <c r="B39" s="27"/>
      <c r="C39" s="30">
        <v>243.92</v>
      </c>
      <c r="D39" s="30">
        <v>248.55</v>
      </c>
      <c r="E39" s="48"/>
      <c r="F39" s="30"/>
      <c r="G39" s="30"/>
      <c r="H39" s="30"/>
      <c r="I39" s="32">
        <f t="shared" si="3"/>
        <v>492.47</v>
      </c>
      <c r="K39" s="39" t="s">
        <v>60</v>
      </c>
    </row>
    <row r="40" spans="1:12">
      <c r="A40" s="27" t="s">
        <v>51</v>
      </c>
      <c r="B40" s="27"/>
      <c r="C40" s="30">
        <v>391.05</v>
      </c>
      <c r="D40" s="30">
        <v>355.41</v>
      </c>
      <c r="E40" s="48"/>
      <c r="F40" s="30"/>
      <c r="G40" s="30"/>
      <c r="H40" s="30"/>
      <c r="I40" s="32">
        <f t="shared" si="3"/>
        <v>746.46</v>
      </c>
    </row>
    <row r="41" spans="1:12">
      <c r="A41" s="27" t="s">
        <v>52</v>
      </c>
      <c r="B41" s="27"/>
      <c r="C41" s="30">
        <v>299.23</v>
      </c>
      <c r="D41" s="30">
        <v>295.22000000000003</v>
      </c>
      <c r="E41" s="48"/>
      <c r="F41" s="30"/>
      <c r="G41" s="30"/>
      <c r="H41" s="30"/>
      <c r="I41" s="32">
        <f t="shared" si="3"/>
        <v>594.45000000000005</v>
      </c>
    </row>
    <row r="42" spans="1:12">
      <c r="A42" s="27" t="s">
        <v>53</v>
      </c>
      <c r="B42" s="27"/>
      <c r="C42" s="30">
        <v>454.73</v>
      </c>
      <c r="D42" s="30">
        <v>433.48</v>
      </c>
      <c r="E42" s="48"/>
      <c r="F42" s="30"/>
      <c r="G42" s="30"/>
      <c r="H42" s="30"/>
      <c r="I42" s="32">
        <f t="shared" si="3"/>
        <v>888.21</v>
      </c>
      <c r="K42" s="46" t="s">
        <v>49</v>
      </c>
      <c r="L42" s="46"/>
    </row>
    <row r="43" spans="1:12">
      <c r="A43" s="27" t="s">
        <v>54</v>
      </c>
      <c r="B43" s="27"/>
      <c r="C43" s="30">
        <v>650.49</v>
      </c>
      <c r="D43" s="30">
        <v>633.77</v>
      </c>
      <c r="E43" s="48"/>
      <c r="F43" s="30"/>
      <c r="G43" s="30"/>
      <c r="H43" s="30"/>
      <c r="I43" s="32">
        <f t="shared" si="3"/>
        <v>1284.26</v>
      </c>
      <c r="K43" s="46"/>
      <c r="L43" s="46"/>
    </row>
    <row r="44" spans="1:12">
      <c r="A44" s="27" t="s">
        <v>55</v>
      </c>
      <c r="B44" s="27"/>
      <c r="C44" s="28">
        <f>142.02+85+20.18</f>
        <v>247.20000000000002</v>
      </c>
      <c r="D44" s="28">
        <f>140.73+0.05</f>
        <v>140.78</v>
      </c>
      <c r="E44" s="47"/>
      <c r="F44" s="28"/>
      <c r="G44" s="28"/>
      <c r="H44" s="28"/>
      <c r="I44" s="29">
        <f t="shared" si="3"/>
        <v>387.98</v>
      </c>
      <c r="K44" s="45"/>
      <c r="L44" s="45"/>
    </row>
    <row r="45" spans="1:12">
      <c r="A45" s="27" t="s">
        <v>47</v>
      </c>
      <c r="B45" s="27"/>
      <c r="C45" s="28">
        <v>0</v>
      </c>
      <c r="D45" s="28">
        <v>0</v>
      </c>
      <c r="E45" s="47"/>
      <c r="F45" s="28"/>
      <c r="G45" s="28"/>
      <c r="H45" s="28"/>
      <c r="I45" s="29">
        <f t="shared" si="3"/>
        <v>0</v>
      </c>
    </row>
    <row r="46" spans="1:12">
      <c r="A46" s="27" t="s">
        <v>48</v>
      </c>
      <c r="B46" s="27"/>
      <c r="C46" s="28">
        <v>1025</v>
      </c>
      <c r="D46" s="28">
        <v>1025</v>
      </c>
      <c r="E46" s="47"/>
      <c r="F46" s="28"/>
      <c r="G46" s="28"/>
      <c r="H46" s="28"/>
      <c r="I46" s="29">
        <f t="shared" si="3"/>
        <v>2050</v>
      </c>
    </row>
    <row r="47" spans="1:12">
      <c r="A47" s="27" t="s">
        <v>16</v>
      </c>
      <c r="B47" s="27"/>
      <c r="C47" s="30">
        <v>21589.08</v>
      </c>
      <c r="D47" s="30">
        <v>21525.02</v>
      </c>
      <c r="E47" s="48"/>
      <c r="F47" s="30"/>
      <c r="G47" s="30"/>
      <c r="H47" s="30"/>
      <c r="I47" s="32">
        <f t="shared" si="1"/>
        <v>43114.100000000006</v>
      </c>
    </row>
    <row r="48" spans="1:12">
      <c r="A48" s="27" t="s">
        <v>14</v>
      </c>
      <c r="B48" s="27"/>
      <c r="C48" s="30">
        <v>6226.88</v>
      </c>
      <c r="D48" s="30">
        <v>6226.88</v>
      </c>
      <c r="E48" s="48"/>
      <c r="F48" s="30"/>
      <c r="G48" s="30"/>
      <c r="H48" s="30"/>
      <c r="I48" s="32">
        <f t="shared" si="1"/>
        <v>12453.76</v>
      </c>
    </row>
    <row r="49" spans="1:9">
      <c r="A49" s="27" t="s">
        <v>17</v>
      </c>
      <c r="B49" s="27"/>
      <c r="C49" s="30">
        <f>-6226.88</f>
        <v>-6226.88</v>
      </c>
      <c r="D49" s="30">
        <v>-6226.88</v>
      </c>
      <c r="E49" s="48"/>
      <c r="F49" s="30"/>
      <c r="G49" s="30"/>
      <c r="H49" s="30"/>
      <c r="I49" s="32">
        <f t="shared" si="1"/>
        <v>-12453.76</v>
      </c>
    </row>
    <row r="50" spans="1:9">
      <c r="A50" s="27" t="s">
        <v>15</v>
      </c>
      <c r="B50" s="27"/>
      <c r="C50" s="30">
        <f>1249.3+6970</f>
        <v>8219.2999999999993</v>
      </c>
      <c r="D50" s="30">
        <f>1287.74+7144.25</f>
        <v>8431.99</v>
      </c>
      <c r="E50" s="48"/>
      <c r="F50" s="30"/>
      <c r="G50" s="30"/>
      <c r="H50" s="30"/>
      <c r="I50" s="32">
        <f t="shared" si="1"/>
        <v>16651.29</v>
      </c>
    </row>
    <row r="51" spans="1:9">
      <c r="A51" s="27" t="s">
        <v>46</v>
      </c>
      <c r="B51" s="27"/>
      <c r="C51" s="30">
        <v>2460</v>
      </c>
      <c r="D51" s="30">
        <v>2536.88</v>
      </c>
      <c r="E51" s="48"/>
      <c r="F51" s="30"/>
      <c r="G51" s="30"/>
      <c r="H51" s="30"/>
      <c r="I51" s="32">
        <f t="shared" si="1"/>
        <v>4996.88</v>
      </c>
    </row>
    <row r="52" spans="1:9">
      <c r="A52" s="27"/>
      <c r="B52" s="27"/>
      <c r="C52" s="31"/>
      <c r="D52" s="31"/>
      <c r="E52" s="31"/>
      <c r="F52" s="31"/>
      <c r="G52" s="31"/>
      <c r="H52" s="30"/>
      <c r="I52" s="33"/>
    </row>
    <row r="53" spans="1:9">
      <c r="A53" s="27"/>
      <c r="B53" s="27"/>
      <c r="C53" s="28">
        <f>SUM(C21:C52)</f>
        <v>85684.53</v>
      </c>
      <c r="D53" s="28">
        <f>SUM(D21:D52)</f>
        <v>86601.830000000016</v>
      </c>
      <c r="E53" s="28">
        <f>SUM(E21:E52)</f>
        <v>0</v>
      </c>
      <c r="F53" s="28">
        <f>SUM(F21:F52)</f>
        <v>0</v>
      </c>
      <c r="G53" s="28">
        <f>SUM(G21:G52)</f>
        <v>0</v>
      </c>
      <c r="H53" s="28"/>
      <c r="I53" s="28">
        <f>SUM(I21:I52)</f>
        <v>172286.36000000002</v>
      </c>
    </row>
    <row r="54" spans="1:9">
      <c r="C54" s="26"/>
      <c r="D54" s="26"/>
      <c r="E54" s="26"/>
      <c r="F54" s="26"/>
      <c r="G54" s="26"/>
      <c r="H54" s="26"/>
      <c r="I54" s="26"/>
    </row>
    <row r="55" spans="1:9">
      <c r="A55" s="27" t="s">
        <v>13</v>
      </c>
      <c r="B55" s="27"/>
      <c r="C55" s="34">
        <f>C53-C14</f>
        <v>56000</v>
      </c>
      <c r="D55" s="34">
        <f>D53-D14</f>
        <v>0</v>
      </c>
      <c r="E55" s="34">
        <f>E53-E14</f>
        <v>-28000</v>
      </c>
      <c r="F55" s="34">
        <f>F53-F14</f>
        <v>-105773.12</v>
      </c>
      <c r="G55" s="34">
        <f>G53-G14</f>
        <v>0</v>
      </c>
      <c r="H55" s="27"/>
      <c r="I55" s="34">
        <f>I53-I14</f>
        <v>-77773.119999999966</v>
      </c>
    </row>
    <row r="56" spans="1:9">
      <c r="G56" s="25"/>
    </row>
    <row r="57" spans="1:9">
      <c r="C57" s="25"/>
      <c r="D57" s="25"/>
      <c r="G57" s="25"/>
    </row>
  </sheetData>
  <mergeCells count="1">
    <mergeCell ref="K42:L43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1Q16 Fees</vt:lpstr>
      <vt:lpstr>2Q16 Fees True-up</vt:lpstr>
      <vt:lpstr>2Q16 Fees</vt:lpstr>
      <vt:lpstr>'1Q16 Fees'!Print_Area</vt:lpstr>
      <vt:lpstr>'2Q16 Fees'!Print_Area</vt:lpstr>
      <vt:lpstr>'2Q16 Fees True-up'!Print_Area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mhess</cp:lastModifiedBy>
  <cp:lastPrinted>2016-05-16T18:34:05Z</cp:lastPrinted>
  <dcterms:created xsi:type="dcterms:W3CDTF">2001-05-15T19:20:02Z</dcterms:created>
  <dcterms:modified xsi:type="dcterms:W3CDTF">2016-08-02T20:47:10Z</dcterms:modified>
</cp:coreProperties>
</file>